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45" windowWidth="20640" windowHeight="11700" firstSheet="4" activeTab="9"/>
  </bookViews>
  <sheets>
    <sheet name="ss đcqh" sheetId="71" state="hidden" r:id="rId1"/>
    <sheet name="SS (2)" sheetId="72" state="hidden" r:id="rId2"/>
    <sheet name="Sheet3" sheetId="46" state="hidden" r:id="rId3"/>
    <sheet name="SS" sheetId="45" state="hidden" r:id="rId4"/>
    <sheet name="B1" sheetId="27" r:id="rId5"/>
    <sheet name="B2" sheetId="9" r:id="rId6"/>
    <sheet name="B6" sheetId="1" r:id="rId7"/>
    <sheet name="B7" sheetId="2" r:id="rId8"/>
    <sheet name="B8" sheetId="66" r:id="rId9"/>
    <sheet name="B9" sheetId="3" r:id="rId10"/>
    <sheet name="B10" sheetId="65" r:id="rId11"/>
    <sheet name="B13" sheetId="62" r:id="rId12"/>
    <sheet name="CÔng Tăng" sheetId="47" state="hidden" r:id="rId13"/>
    <sheet name="Cộng giảm" sheetId="48" state="hidden" r:id="rId14"/>
    <sheet name="Nháp 2" sheetId="49" state="hidden" r:id="rId15"/>
    <sheet name="Sheet5" sheetId="54" state="hidden" r:id="rId16"/>
  </sheets>
  <externalReferences>
    <externalReference r:id="rId17"/>
  </externalReferences>
  <definedNames>
    <definedName name="_xlnm._FilterDatabase" localSheetId="4" hidden="1">'B1'!$D$1:$D$64</definedName>
    <definedName name="_xlnm._FilterDatabase" localSheetId="10" hidden="1">'B10'!$A$9:$W$233</definedName>
    <definedName name="_xlnm._FilterDatabase" localSheetId="5" hidden="1">'B2'!$A$8:$G$59</definedName>
    <definedName name="OLE_LINK1" localSheetId="11">'B13'!$A$4</definedName>
    <definedName name="_xlnm.Print_Area" localSheetId="10">'B10'!$A$1:$W$232</definedName>
    <definedName name="_xlnm.Print_Titles" localSheetId="10">'B10'!$9:$9</definedName>
    <definedName name="_xlnm.Print_Titles" localSheetId="6">'B6'!$4:$5</definedName>
  </definedNames>
  <calcPr calcId="144525"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4" i="45" l="1"/>
  <c r="D4" i="45"/>
  <c r="F4" i="45"/>
  <c r="E5" i="45"/>
  <c r="D5" i="45"/>
  <c r="F5" i="45"/>
  <c r="E6" i="45"/>
  <c r="D6" i="45"/>
  <c r="F6" i="45"/>
  <c r="E7" i="45"/>
  <c r="D7" i="45"/>
  <c r="F7" i="45"/>
  <c r="E8" i="45"/>
  <c r="D8" i="45"/>
  <c r="F8" i="45"/>
  <c r="E9" i="45"/>
  <c r="D9" i="45"/>
  <c r="F9" i="45"/>
  <c r="E10" i="45"/>
  <c r="D10" i="45"/>
  <c r="F10" i="45"/>
  <c r="E11" i="45"/>
  <c r="D11" i="45"/>
  <c r="F11" i="45"/>
  <c r="E12" i="45"/>
  <c r="D12" i="45"/>
  <c r="F12" i="45"/>
  <c r="E13" i="45"/>
  <c r="D13" i="45"/>
  <c r="F13" i="45"/>
  <c r="E14" i="45"/>
  <c r="D14" i="45"/>
  <c r="F14" i="45"/>
  <c r="E15" i="45"/>
  <c r="D15" i="45"/>
  <c r="F15" i="45"/>
  <c r="E16" i="45"/>
  <c r="D16" i="45"/>
  <c r="F16" i="45"/>
  <c r="E17" i="45"/>
  <c r="D17" i="45"/>
  <c r="F17" i="45"/>
  <c r="E18" i="45"/>
  <c r="D18" i="45"/>
  <c r="F18" i="45"/>
  <c r="E19" i="45"/>
  <c r="D19" i="45"/>
  <c r="F19" i="45"/>
  <c r="E20" i="45"/>
  <c r="D20" i="45"/>
  <c r="F20" i="45"/>
  <c r="E21" i="45"/>
  <c r="D21" i="45"/>
  <c r="F21" i="45"/>
  <c r="E22" i="45"/>
  <c r="D22" i="45"/>
  <c r="F22" i="45"/>
  <c r="E23" i="45"/>
  <c r="D23" i="45"/>
  <c r="F23" i="45"/>
  <c r="E24" i="45"/>
  <c r="D24" i="45"/>
  <c r="F24" i="45"/>
  <c r="E25" i="45"/>
  <c r="D25" i="45"/>
  <c r="F25" i="45"/>
  <c r="E26" i="45"/>
  <c r="D26" i="45"/>
  <c r="F26" i="45"/>
  <c r="E27" i="45"/>
  <c r="D27" i="45"/>
  <c r="F27" i="45"/>
  <c r="E28" i="45"/>
  <c r="D28" i="45"/>
  <c r="F28" i="45"/>
  <c r="E29" i="45"/>
  <c r="D29" i="45"/>
  <c r="F29" i="45"/>
  <c r="E30" i="45"/>
  <c r="D30" i="45"/>
  <c r="F30" i="45"/>
  <c r="E31" i="45"/>
  <c r="D31" i="45"/>
  <c r="F31" i="45"/>
  <c r="E32" i="45"/>
  <c r="D32" i="45"/>
  <c r="F32" i="45"/>
  <c r="E33" i="45"/>
  <c r="D33" i="45"/>
  <c r="F33" i="45"/>
  <c r="E34" i="45"/>
  <c r="D34" i="45"/>
  <c r="F34" i="45"/>
  <c r="E35" i="45"/>
  <c r="D35" i="45"/>
  <c r="F35" i="45"/>
  <c r="E36" i="45"/>
  <c r="D36" i="45"/>
  <c r="F36" i="45"/>
  <c r="E37" i="45"/>
  <c r="D37" i="45"/>
  <c r="F37" i="45"/>
  <c r="E38" i="45"/>
  <c r="D38" i="45"/>
  <c r="F38" i="45"/>
  <c r="E39" i="45"/>
  <c r="D39" i="45"/>
  <c r="F39" i="45"/>
  <c r="E40" i="45"/>
  <c r="D40" i="45"/>
  <c r="F40" i="45"/>
  <c r="E41" i="45"/>
  <c r="D41" i="45"/>
  <c r="F41" i="45"/>
  <c r="E42" i="45"/>
  <c r="D42" i="45"/>
  <c r="F42" i="45"/>
  <c r="E43" i="45"/>
  <c r="D43" i="45"/>
  <c r="F43" i="45"/>
  <c r="E44" i="45"/>
  <c r="D44" i="45"/>
  <c r="F44" i="45"/>
  <c r="E45" i="45"/>
  <c r="D45" i="45"/>
  <c r="F45" i="45"/>
  <c r="E46" i="45"/>
  <c r="D46" i="45"/>
  <c r="F46" i="45"/>
  <c r="E47" i="45"/>
  <c r="D47" i="45"/>
  <c r="F47" i="45"/>
  <c r="E48" i="45"/>
  <c r="D48" i="45"/>
  <c r="F48" i="45"/>
  <c r="E49" i="45"/>
  <c r="D49" i="45"/>
  <c r="F49" i="45"/>
  <c r="E50" i="45"/>
  <c r="D50" i="45"/>
  <c r="F50" i="45"/>
  <c r="E51" i="45"/>
  <c r="D51" i="45"/>
  <c r="F51" i="45"/>
  <c r="E52" i="45"/>
  <c r="D52" i="45"/>
  <c r="F52" i="45"/>
  <c r="E53" i="45"/>
  <c r="D53" i="45"/>
  <c r="F53" i="45"/>
  <c r="E54" i="45"/>
  <c r="D54" i="45"/>
  <c r="F54" i="45"/>
  <c r="E3" i="45"/>
  <c r="D3" i="45"/>
  <c r="F3" i="45"/>
  <c r="F55" i="72"/>
  <c r="F4" i="72"/>
  <c r="G55" i="72"/>
  <c r="D55" i="72"/>
  <c r="D4" i="72"/>
  <c r="E55" i="72"/>
  <c r="F54" i="72"/>
  <c r="G54" i="72"/>
  <c r="D54" i="72"/>
  <c r="E54" i="72"/>
  <c r="F53" i="72"/>
  <c r="G53" i="72"/>
  <c r="D53" i="72"/>
  <c r="E53" i="72"/>
  <c r="F52" i="72"/>
  <c r="G52" i="72"/>
  <c r="D52" i="72"/>
  <c r="E52" i="72"/>
  <c r="F51" i="72"/>
  <c r="G51" i="72"/>
  <c r="D51" i="72"/>
  <c r="E51" i="72"/>
  <c r="F50" i="72"/>
  <c r="G50" i="72"/>
  <c r="D50" i="72"/>
  <c r="E50" i="72"/>
  <c r="F49" i="72"/>
  <c r="G49" i="72"/>
  <c r="D49" i="72"/>
  <c r="E49" i="72"/>
  <c r="F48" i="72"/>
  <c r="G48" i="72"/>
  <c r="D48" i="72"/>
  <c r="E48" i="72"/>
  <c r="F47" i="72"/>
  <c r="G47" i="72"/>
  <c r="D47" i="72"/>
  <c r="E47" i="72"/>
  <c r="F46" i="72"/>
  <c r="G46" i="72"/>
  <c r="D46" i="72"/>
  <c r="E46" i="72"/>
  <c r="F45" i="72"/>
  <c r="G45" i="72"/>
  <c r="D45" i="72"/>
  <c r="E45" i="72"/>
  <c r="F44" i="72"/>
  <c r="G44" i="72"/>
  <c r="D44" i="72"/>
  <c r="E44" i="72"/>
  <c r="F43" i="72"/>
  <c r="D43" i="72"/>
  <c r="H43" i="72"/>
  <c r="I43" i="72"/>
  <c r="G43" i="72"/>
  <c r="E43" i="72"/>
  <c r="F42" i="72"/>
  <c r="D42" i="72"/>
  <c r="H42" i="72"/>
  <c r="I42" i="72"/>
  <c r="G42" i="72"/>
  <c r="E42" i="72"/>
  <c r="F41" i="72"/>
  <c r="D41" i="72"/>
  <c r="H41" i="72"/>
  <c r="I41" i="72"/>
  <c r="G41" i="72"/>
  <c r="E41" i="72"/>
  <c r="F40" i="72"/>
  <c r="D40" i="72"/>
  <c r="H40" i="72"/>
  <c r="I40" i="72"/>
  <c r="G40" i="72"/>
  <c r="E40" i="72"/>
  <c r="F39" i="72"/>
  <c r="D39" i="72"/>
  <c r="H39" i="72"/>
  <c r="I39" i="72"/>
  <c r="G39" i="72"/>
  <c r="E39" i="72"/>
  <c r="F38" i="72"/>
  <c r="D38" i="72"/>
  <c r="H38" i="72"/>
  <c r="I38" i="72"/>
  <c r="G38" i="72"/>
  <c r="E38" i="72"/>
  <c r="F37" i="72"/>
  <c r="D37" i="72"/>
  <c r="H37" i="72"/>
  <c r="I37" i="72"/>
  <c r="G37" i="72"/>
  <c r="E37" i="72"/>
  <c r="F36" i="72"/>
  <c r="D36" i="72"/>
  <c r="H36" i="72"/>
  <c r="I36" i="72"/>
  <c r="G36" i="72"/>
  <c r="E36" i="72"/>
  <c r="F35" i="72"/>
  <c r="D35" i="72"/>
  <c r="H35" i="72"/>
  <c r="I35" i="72"/>
  <c r="G35" i="72"/>
  <c r="E35" i="72"/>
  <c r="F34" i="72"/>
  <c r="D34" i="72"/>
  <c r="H34" i="72"/>
  <c r="I34" i="72"/>
  <c r="G34" i="72"/>
  <c r="E34" i="72"/>
  <c r="F33" i="72"/>
  <c r="I33" i="72"/>
  <c r="G33" i="72"/>
  <c r="D33" i="72"/>
  <c r="E33" i="72"/>
  <c r="F32" i="72"/>
  <c r="D32" i="72"/>
  <c r="H32" i="72"/>
  <c r="I32" i="72"/>
  <c r="G32" i="72"/>
  <c r="E32" i="72"/>
  <c r="F31" i="72"/>
  <c r="D31" i="72"/>
  <c r="H31" i="72"/>
  <c r="I31" i="72"/>
  <c r="G31" i="72"/>
  <c r="E31" i="72"/>
  <c r="F30" i="72"/>
  <c r="D30" i="72"/>
  <c r="H30" i="72"/>
  <c r="I30" i="72"/>
  <c r="G30" i="72"/>
  <c r="E30" i="72"/>
  <c r="M28" i="72"/>
  <c r="M29" i="72"/>
  <c r="F16" i="72"/>
  <c r="L29" i="72"/>
  <c r="F29" i="72"/>
  <c r="D29" i="72"/>
  <c r="H29" i="72"/>
  <c r="I29" i="72"/>
  <c r="G29" i="72"/>
  <c r="E29" i="72"/>
  <c r="F28" i="72"/>
  <c r="D28" i="72"/>
  <c r="H28" i="72"/>
  <c r="I28" i="72"/>
  <c r="G28" i="72"/>
  <c r="E28" i="72"/>
  <c r="F27" i="72"/>
  <c r="I27" i="72"/>
  <c r="G27" i="72"/>
  <c r="D27" i="72"/>
  <c r="E27" i="72"/>
  <c r="F26" i="72"/>
  <c r="D26" i="72"/>
  <c r="H26" i="72"/>
  <c r="I26" i="72"/>
  <c r="G26" i="72"/>
  <c r="E26" i="72"/>
  <c r="F25" i="72"/>
  <c r="D25" i="72"/>
  <c r="H25" i="72"/>
  <c r="I25" i="72"/>
  <c r="G25" i="72"/>
  <c r="E25" i="72"/>
  <c r="F24" i="72"/>
  <c r="D24" i="72"/>
  <c r="H24" i="72"/>
  <c r="I24" i="72"/>
  <c r="G24" i="72"/>
  <c r="E24" i="72"/>
  <c r="F23" i="72"/>
  <c r="D23" i="72"/>
  <c r="H23" i="72"/>
  <c r="I23" i="72"/>
  <c r="G23" i="72"/>
  <c r="E23" i="72"/>
  <c r="F22" i="72"/>
  <c r="D22" i="72"/>
  <c r="H22" i="72"/>
  <c r="I22" i="72"/>
  <c r="G22" i="72"/>
  <c r="E22" i="72"/>
  <c r="F21" i="72"/>
  <c r="D21" i="72"/>
  <c r="H21" i="72"/>
  <c r="I21" i="72"/>
  <c r="G21" i="72"/>
  <c r="E21" i="72"/>
  <c r="F20" i="72"/>
  <c r="I20" i="72"/>
  <c r="G20" i="72"/>
  <c r="D20" i="72"/>
  <c r="E20" i="72"/>
  <c r="F19" i="72"/>
  <c r="I19" i="72"/>
  <c r="G19" i="72"/>
  <c r="D19" i="72"/>
  <c r="E19" i="72"/>
  <c r="F18" i="72"/>
  <c r="D18" i="72"/>
  <c r="H18" i="72"/>
  <c r="I18" i="72"/>
  <c r="G18" i="72"/>
  <c r="E18" i="72"/>
  <c r="F17" i="72"/>
  <c r="D17" i="72"/>
  <c r="H17" i="72"/>
  <c r="I17" i="72"/>
  <c r="G17" i="72"/>
  <c r="E17" i="72"/>
  <c r="D16" i="72"/>
  <c r="H16" i="72"/>
  <c r="I16" i="72"/>
  <c r="G16" i="72"/>
  <c r="E16" i="72"/>
  <c r="F15" i="72"/>
  <c r="D15" i="72"/>
  <c r="H15" i="72"/>
  <c r="I15" i="72"/>
  <c r="G15" i="72"/>
  <c r="E15" i="72"/>
  <c r="F14" i="72"/>
  <c r="I14" i="72"/>
  <c r="G14" i="72"/>
  <c r="D14" i="72"/>
  <c r="E14" i="72"/>
  <c r="F13" i="72"/>
  <c r="D13" i="72"/>
  <c r="H13" i="72"/>
  <c r="I13" i="72"/>
  <c r="G13" i="72"/>
  <c r="E13" i="72"/>
  <c r="F12" i="72"/>
  <c r="D12" i="72"/>
  <c r="H12" i="72"/>
  <c r="I12" i="72"/>
  <c r="G12" i="72"/>
  <c r="E12" i="72"/>
  <c r="F11" i="72"/>
  <c r="D11" i="72"/>
  <c r="H11" i="72"/>
  <c r="I11" i="72"/>
  <c r="G11" i="72"/>
  <c r="E11" i="72"/>
  <c r="F10" i="72"/>
  <c r="D10" i="72"/>
  <c r="H10" i="72"/>
  <c r="I10" i="72"/>
  <c r="G10" i="72"/>
  <c r="E10" i="72"/>
  <c r="L9" i="72"/>
  <c r="K9" i="72"/>
  <c r="J9" i="72"/>
  <c r="F9" i="72"/>
  <c r="D9" i="72"/>
  <c r="H9" i="72"/>
  <c r="I9" i="72"/>
  <c r="G9" i="72"/>
  <c r="E9" i="72"/>
  <c r="L8" i="72"/>
  <c r="K8" i="72"/>
  <c r="J8" i="72"/>
  <c r="F8" i="72"/>
  <c r="D8" i="72"/>
  <c r="H8" i="72"/>
  <c r="I8" i="72"/>
  <c r="G8" i="72"/>
  <c r="E8" i="72"/>
  <c r="F5" i="72"/>
  <c r="L7" i="72"/>
  <c r="D5" i="72"/>
  <c r="K7" i="72"/>
  <c r="J7" i="72"/>
  <c r="F7" i="72"/>
  <c r="D7" i="72"/>
  <c r="H7" i="72"/>
  <c r="I7" i="72"/>
  <c r="G7" i="72"/>
  <c r="E7" i="72"/>
  <c r="L6" i="72"/>
  <c r="K6" i="72"/>
  <c r="F6" i="72"/>
  <c r="D6" i="72"/>
  <c r="H6" i="72"/>
  <c r="I6" i="72"/>
  <c r="G6" i="72"/>
  <c r="E6" i="72"/>
  <c r="H5" i="72"/>
  <c r="I5" i="72"/>
  <c r="G5" i="72"/>
  <c r="E5" i="72"/>
  <c r="L4" i="72"/>
  <c r="H4" i="72"/>
  <c r="I4" i="72"/>
  <c r="M13" i="66"/>
  <c r="M14" i="2"/>
  <c r="M11" i="48"/>
  <c r="G154" i="65"/>
  <c r="E154" i="65"/>
  <c r="G13" i="65"/>
  <c r="E13" i="65"/>
  <c r="G14" i="65"/>
  <c r="E14" i="65"/>
  <c r="G15" i="65"/>
  <c r="E15" i="65"/>
  <c r="O14" i="49"/>
  <c r="M29" i="47"/>
  <c r="M20" i="47"/>
  <c r="Q20" i="1"/>
  <c r="Q11" i="1"/>
  <c r="Q8" i="1"/>
  <c r="Q6" i="1"/>
  <c r="I20" i="47"/>
  <c r="I20" i="48"/>
  <c r="M20" i="1"/>
  <c r="M6" i="1"/>
  <c r="F20" i="47"/>
  <c r="F20" i="48"/>
  <c r="J20" i="1"/>
  <c r="J6" i="1"/>
  <c r="N20" i="47"/>
  <c r="N20" i="48"/>
  <c r="R20" i="1"/>
  <c r="R6" i="1"/>
  <c r="H6" i="1"/>
  <c r="H11" i="1"/>
  <c r="H20" i="1"/>
  <c r="M21" i="1"/>
  <c r="J21" i="1"/>
  <c r="R21" i="1"/>
  <c r="H21" i="1"/>
  <c r="Q29" i="1"/>
  <c r="H29" i="1"/>
  <c r="Q32" i="1"/>
  <c r="H32" i="1"/>
  <c r="M51" i="1"/>
  <c r="J51" i="1"/>
  <c r="R51" i="1"/>
  <c r="H51" i="1"/>
  <c r="H8" i="1"/>
  <c r="G184" i="65"/>
  <c r="E184" i="65"/>
  <c r="C19" i="49"/>
  <c r="C18" i="49"/>
  <c r="C17" i="49"/>
  <c r="C8" i="49"/>
  <c r="I67" i="1"/>
  <c r="J64" i="1"/>
  <c r="K64" i="1"/>
  <c r="L64" i="1"/>
  <c r="M64" i="1"/>
  <c r="N64" i="1"/>
  <c r="O64" i="1"/>
  <c r="P64" i="1"/>
  <c r="Q64" i="1"/>
  <c r="R64" i="1"/>
  <c r="S64" i="1"/>
  <c r="I64" i="1"/>
  <c r="N13" i="66"/>
  <c r="N14" i="2"/>
  <c r="W10" i="62"/>
  <c r="N11" i="48"/>
  <c r="G153" i="65"/>
  <c r="E153" i="65"/>
  <c r="E32" i="66"/>
  <c r="E54" i="66"/>
  <c r="E55" i="66"/>
  <c r="E22" i="66"/>
  <c r="F38" i="66"/>
  <c r="D28" i="27"/>
  <c r="D25" i="62"/>
  <c r="BD25" i="62"/>
  <c r="W25" i="62"/>
  <c r="W28" i="62"/>
  <c r="W58" i="62"/>
  <c r="D29" i="27"/>
  <c r="D26" i="62"/>
  <c r="BD26" i="62"/>
  <c r="X26" i="62"/>
  <c r="X28" i="62"/>
  <c r="X58" i="62"/>
  <c r="D30" i="27"/>
  <c r="D27" i="62"/>
  <c r="BD27" i="62"/>
  <c r="Y27" i="62"/>
  <c r="Y58" i="62"/>
  <c r="Z8" i="62"/>
  <c r="Z9" i="62"/>
  <c r="Z10" i="62"/>
  <c r="Z11" i="62"/>
  <c r="Z14" i="62"/>
  <c r="Z16" i="62"/>
  <c r="Z49" i="62"/>
  <c r="Z48" i="62"/>
  <c r="Z12" i="62"/>
  <c r="Z13" i="62"/>
  <c r="Z15" i="62"/>
  <c r="Z17" i="62"/>
  <c r="Z18" i="62"/>
  <c r="Z19" i="62"/>
  <c r="Z20" i="62"/>
  <c r="Z21" i="62"/>
  <c r="Z22" i="62"/>
  <c r="Z23" i="62"/>
  <c r="Z24" i="62"/>
  <c r="Z25" i="62"/>
  <c r="Z26" i="62"/>
  <c r="Z27" i="62"/>
  <c r="E32" i="27"/>
  <c r="E33" i="27"/>
  <c r="E38" i="27"/>
  <c r="E31" i="27"/>
  <c r="F31" i="27"/>
  <c r="G31" i="27"/>
  <c r="H31" i="27"/>
  <c r="I31" i="27"/>
  <c r="J31" i="27"/>
  <c r="K31" i="27"/>
  <c r="L31" i="27"/>
  <c r="M31" i="27"/>
  <c r="N31" i="27"/>
  <c r="O31" i="27"/>
  <c r="D31" i="27"/>
  <c r="D28" i="62"/>
  <c r="F28" i="62"/>
  <c r="H28" i="62"/>
  <c r="I28" i="62"/>
  <c r="J28" i="62"/>
  <c r="K28" i="62"/>
  <c r="L28" i="62"/>
  <c r="P28" i="62"/>
  <c r="Q28" i="62"/>
  <c r="D35" i="27"/>
  <c r="D32" i="62"/>
  <c r="BD32" i="62"/>
  <c r="AD32" i="62"/>
  <c r="AD28" i="62"/>
  <c r="D36" i="27"/>
  <c r="D33" i="62"/>
  <c r="BD33" i="62"/>
  <c r="AE33" i="62"/>
  <c r="AE28" i="62"/>
  <c r="D37" i="27"/>
  <c r="D34" i="62"/>
  <c r="BD34" i="62"/>
  <c r="AF34" i="62"/>
  <c r="AF28" i="62"/>
  <c r="D38" i="27"/>
  <c r="D35" i="62"/>
  <c r="BD35" i="62"/>
  <c r="AG35" i="62"/>
  <c r="AG28" i="62"/>
  <c r="D39" i="27"/>
  <c r="D36" i="62"/>
  <c r="BD36" i="62"/>
  <c r="AH36" i="62"/>
  <c r="AH28" i="62"/>
  <c r="D37" i="62"/>
  <c r="AI37" i="62"/>
  <c r="AI28" i="62"/>
  <c r="D41" i="27"/>
  <c r="D38" i="62"/>
  <c r="BD38" i="62"/>
  <c r="AJ38" i="62"/>
  <c r="AJ28" i="62"/>
  <c r="D42" i="27"/>
  <c r="D39" i="62"/>
  <c r="BD39" i="62"/>
  <c r="AK39" i="62"/>
  <c r="AK28" i="62"/>
  <c r="D43" i="27"/>
  <c r="D40" i="62"/>
  <c r="BD40" i="62"/>
  <c r="AL40" i="62"/>
  <c r="AL28" i="62"/>
  <c r="D44" i="27"/>
  <c r="D41" i="62"/>
  <c r="BD41" i="62"/>
  <c r="AM41" i="62"/>
  <c r="AM28" i="62"/>
  <c r="D45" i="27"/>
  <c r="D42" i="62"/>
  <c r="BD42" i="62"/>
  <c r="AN42" i="62"/>
  <c r="AN28" i="62"/>
  <c r="D46" i="27"/>
  <c r="D43" i="62"/>
  <c r="BD43" i="62"/>
  <c r="AO43" i="62"/>
  <c r="AO28" i="62"/>
  <c r="D47" i="27"/>
  <c r="D44" i="62"/>
  <c r="BD44" i="62"/>
  <c r="AP44" i="62"/>
  <c r="AP28" i="62"/>
  <c r="AQ28" i="62"/>
  <c r="AR28" i="62"/>
  <c r="AS28" i="62"/>
  <c r="AT28" i="62"/>
  <c r="AU28" i="62"/>
  <c r="AV28" i="62"/>
  <c r="AW28" i="62"/>
  <c r="AX28" i="62"/>
  <c r="AY28" i="62"/>
  <c r="AZ28" i="62"/>
  <c r="BA28" i="62"/>
  <c r="BB28" i="62"/>
  <c r="BC28" i="62"/>
  <c r="BD28" i="62"/>
  <c r="Z28" i="62"/>
  <c r="D32" i="27"/>
  <c r="D29" i="62"/>
  <c r="BD29" i="62"/>
  <c r="AA29" i="62"/>
  <c r="Z29" i="62"/>
  <c r="D33" i="27"/>
  <c r="D30" i="62"/>
  <c r="BD30" i="62"/>
  <c r="AB30" i="62"/>
  <c r="Z30" i="62"/>
  <c r="D34" i="27"/>
  <c r="D31" i="62"/>
  <c r="BD31" i="62"/>
  <c r="AC31" i="62"/>
  <c r="Z31" i="62"/>
  <c r="Z32" i="62"/>
  <c r="Z33" i="62"/>
  <c r="Z34" i="62"/>
  <c r="Z35" i="62"/>
  <c r="Z36" i="62"/>
  <c r="Z37" i="62"/>
  <c r="Z38" i="62"/>
  <c r="Z39" i="62"/>
  <c r="Z40" i="62"/>
  <c r="Z41" i="62"/>
  <c r="Z42" i="62"/>
  <c r="Z43" i="62"/>
  <c r="Z44" i="62"/>
  <c r="Z45" i="62"/>
  <c r="Z46" i="62"/>
  <c r="Z47" i="62"/>
  <c r="Z50" i="62"/>
  <c r="Z51" i="62"/>
  <c r="Z52" i="62"/>
  <c r="Z53" i="62"/>
  <c r="Z54" i="62"/>
  <c r="Z55" i="62"/>
  <c r="Z56" i="62"/>
  <c r="Z57" i="62"/>
  <c r="Z58" i="62"/>
  <c r="AA58" i="62"/>
  <c r="AB58" i="62"/>
  <c r="AC58" i="62"/>
  <c r="AD58" i="62"/>
  <c r="AE58" i="62"/>
  <c r="AF58" i="62"/>
  <c r="AG58" i="62"/>
  <c r="AH58" i="62"/>
  <c r="AI58" i="62"/>
  <c r="AJ58" i="62"/>
  <c r="AK58" i="62"/>
  <c r="AL58" i="62"/>
  <c r="AM58" i="62"/>
  <c r="AN58" i="62"/>
  <c r="AO58" i="62"/>
  <c r="AP58" i="62"/>
  <c r="D45" i="62"/>
  <c r="BD45" i="62"/>
  <c r="AQ45" i="62"/>
  <c r="AQ58" i="62"/>
  <c r="D49" i="27"/>
  <c r="D46" i="62"/>
  <c r="BD46" i="62"/>
  <c r="AR46" i="62"/>
  <c r="AR58" i="62"/>
  <c r="D50" i="27"/>
  <c r="D47" i="62"/>
  <c r="BD47" i="62"/>
  <c r="AS47" i="62"/>
  <c r="AS58" i="62"/>
  <c r="BD48" i="62"/>
  <c r="D51" i="27"/>
  <c r="D48" i="62"/>
  <c r="AT48" i="62"/>
  <c r="AT10" i="62"/>
  <c r="AT11" i="62"/>
  <c r="AT58" i="62"/>
  <c r="BD49" i="62"/>
  <c r="E52" i="27"/>
  <c r="D52" i="27"/>
  <c r="D49" i="62"/>
  <c r="AU49" i="62"/>
  <c r="AU58" i="62"/>
  <c r="D53" i="27"/>
  <c r="D50" i="62"/>
  <c r="BD50" i="62"/>
  <c r="AV50" i="62"/>
  <c r="AV58" i="62"/>
  <c r="D54" i="27"/>
  <c r="D51" i="62"/>
  <c r="BD51" i="62"/>
  <c r="AW51" i="62"/>
  <c r="AW58" i="62"/>
  <c r="D52" i="62"/>
  <c r="BD52" i="62"/>
  <c r="AX52" i="62"/>
  <c r="AX58" i="62"/>
  <c r="D56" i="27"/>
  <c r="D53" i="62"/>
  <c r="BD53" i="62"/>
  <c r="AY53" i="62"/>
  <c r="AY58" i="62"/>
  <c r="D57" i="27"/>
  <c r="D54" i="62"/>
  <c r="BD54" i="62"/>
  <c r="AZ54" i="62"/>
  <c r="AZ58" i="62"/>
  <c r="D58" i="27"/>
  <c r="D55" i="62"/>
  <c r="BD55" i="62"/>
  <c r="BA55" i="62"/>
  <c r="BA58" i="62"/>
  <c r="D59" i="27"/>
  <c r="D56" i="62"/>
  <c r="BD56" i="62"/>
  <c r="BB56" i="62"/>
  <c r="BB58" i="62"/>
  <c r="F58" i="62"/>
  <c r="G28" i="62"/>
  <c r="G58" i="62"/>
  <c r="H58" i="62"/>
  <c r="I58" i="62"/>
  <c r="J58" i="62"/>
  <c r="K58" i="62"/>
  <c r="L58" i="62"/>
  <c r="M28" i="62"/>
  <c r="M58" i="62"/>
  <c r="N58" i="62"/>
  <c r="O58" i="62"/>
  <c r="P58" i="62"/>
  <c r="D24" i="27"/>
  <c r="D21" i="62"/>
  <c r="BD21" i="62"/>
  <c r="S21" i="62"/>
  <c r="S58" i="62"/>
  <c r="D23" i="27"/>
  <c r="D20" i="62"/>
  <c r="BD20" i="62"/>
  <c r="R20" i="62"/>
  <c r="R58" i="62"/>
  <c r="D25" i="27"/>
  <c r="D22" i="62"/>
  <c r="BD22" i="62"/>
  <c r="T22" i="62"/>
  <c r="T58" i="62"/>
  <c r="D26" i="27"/>
  <c r="D23" i="62"/>
  <c r="BD23" i="62"/>
  <c r="U23" i="62"/>
  <c r="U58" i="62"/>
  <c r="K27" i="27"/>
  <c r="D27" i="27"/>
  <c r="D24" i="62"/>
  <c r="BD24" i="62"/>
  <c r="V24" i="62"/>
  <c r="V58" i="62"/>
  <c r="Q58" i="62"/>
  <c r="E58" i="62"/>
  <c r="E55" i="9"/>
  <c r="F185" i="65"/>
  <c r="G180" i="65"/>
  <c r="G181" i="65"/>
  <c r="G182" i="65"/>
  <c r="G183" i="65"/>
  <c r="E180" i="65"/>
  <c r="E181" i="65"/>
  <c r="E182" i="65"/>
  <c r="E183" i="65"/>
  <c r="F174" i="65"/>
  <c r="G177" i="65"/>
  <c r="G178" i="65"/>
  <c r="G179" i="65"/>
  <c r="E177" i="65"/>
  <c r="E178" i="65"/>
  <c r="E179" i="65"/>
  <c r="G174" i="65"/>
  <c r="G175" i="65"/>
  <c r="E174" i="65"/>
  <c r="E175" i="65"/>
  <c r="G170" i="65"/>
  <c r="E170" i="65"/>
  <c r="G171" i="65"/>
  <c r="E171" i="65"/>
  <c r="G172" i="65"/>
  <c r="E172" i="65"/>
  <c r="G169" i="65"/>
  <c r="E169" i="65"/>
  <c r="G173" i="65"/>
  <c r="E173" i="65"/>
  <c r="G176" i="65"/>
  <c r="E176" i="65"/>
  <c r="G144" i="65"/>
  <c r="E144" i="65"/>
  <c r="G18" i="65"/>
  <c r="E18" i="65"/>
  <c r="G145" i="65"/>
  <c r="E145" i="65"/>
  <c r="G146" i="65"/>
  <c r="E146" i="65"/>
  <c r="G147" i="65"/>
  <c r="E147" i="65"/>
  <c r="G148" i="65"/>
  <c r="E148" i="65"/>
  <c r="G149" i="65"/>
  <c r="E149" i="65"/>
  <c r="G150" i="65"/>
  <c r="E150" i="65"/>
  <c r="G151" i="65"/>
  <c r="E151" i="65"/>
  <c r="G152" i="65"/>
  <c r="E152" i="65"/>
  <c r="G117" i="65"/>
  <c r="E117" i="65"/>
  <c r="G86" i="65"/>
  <c r="G84" i="65"/>
  <c r="G85" i="65"/>
  <c r="G83" i="65"/>
  <c r="E83" i="65"/>
  <c r="E84" i="65"/>
  <c r="E85" i="65"/>
  <c r="E86" i="65"/>
  <c r="G114" i="65"/>
  <c r="G115" i="65"/>
  <c r="G82" i="65"/>
  <c r="G116" i="65"/>
  <c r="G118" i="65"/>
  <c r="G119" i="65"/>
  <c r="E114" i="65"/>
  <c r="E115" i="65"/>
  <c r="E82" i="65"/>
  <c r="E116" i="65"/>
  <c r="E118" i="65"/>
  <c r="E119" i="65"/>
  <c r="F101" i="65"/>
  <c r="K100" i="65"/>
  <c r="G100" i="65"/>
  <c r="E100" i="65"/>
  <c r="G101" i="65"/>
  <c r="E101" i="65"/>
  <c r="G102" i="65"/>
  <c r="E102" i="65"/>
  <c r="F15" i="2"/>
  <c r="F14" i="2"/>
  <c r="G49" i="47"/>
  <c r="F49" i="47"/>
  <c r="G143" i="65"/>
  <c r="E143" i="65"/>
  <c r="G142" i="65"/>
  <c r="E142" i="65"/>
  <c r="F9" i="66"/>
  <c r="G9" i="66"/>
  <c r="H9" i="66"/>
  <c r="I9" i="66"/>
  <c r="J9" i="66"/>
  <c r="K9" i="66"/>
  <c r="L9" i="66"/>
  <c r="M9" i="66"/>
  <c r="N9" i="66"/>
  <c r="O9" i="66"/>
  <c r="E9" i="66"/>
  <c r="E8" i="66"/>
  <c r="D12" i="66"/>
  <c r="G12" i="65"/>
  <c r="E12" i="65"/>
  <c r="G16" i="65"/>
  <c r="E16" i="65"/>
  <c r="G17" i="65"/>
  <c r="E17" i="65"/>
  <c r="G22" i="65"/>
  <c r="E22" i="65"/>
  <c r="G26" i="65"/>
  <c r="F26" i="65"/>
  <c r="E26" i="65"/>
  <c r="K27" i="65"/>
  <c r="G27" i="65"/>
  <c r="F27" i="65"/>
  <c r="E27" i="65"/>
  <c r="K28" i="65"/>
  <c r="G28" i="65"/>
  <c r="F28" i="65"/>
  <c r="E28" i="65"/>
  <c r="G29" i="65"/>
  <c r="E29" i="65"/>
  <c r="G30" i="65"/>
  <c r="E30" i="65"/>
  <c r="G34" i="65"/>
  <c r="E34" i="65"/>
  <c r="G35" i="65"/>
  <c r="E35" i="65"/>
  <c r="G36" i="65"/>
  <c r="E36" i="65"/>
  <c r="G37" i="65"/>
  <c r="E37" i="65"/>
  <c r="G38" i="65"/>
  <c r="E38" i="65"/>
  <c r="G39" i="65"/>
  <c r="E39" i="65"/>
  <c r="G40" i="65"/>
  <c r="E40" i="65"/>
  <c r="G41" i="65"/>
  <c r="E41" i="65"/>
  <c r="G42" i="65"/>
  <c r="E42" i="65"/>
  <c r="G43" i="65"/>
  <c r="E43" i="65"/>
  <c r="G44" i="65"/>
  <c r="E44" i="65"/>
  <c r="G45" i="65"/>
  <c r="E45" i="65"/>
  <c r="G46" i="65"/>
  <c r="E46" i="65"/>
  <c r="G47" i="65"/>
  <c r="E47" i="65"/>
  <c r="G48" i="65"/>
  <c r="E48" i="65"/>
  <c r="G50" i="65"/>
  <c r="E50" i="65"/>
  <c r="G52" i="65"/>
  <c r="E52" i="65"/>
  <c r="G53" i="65"/>
  <c r="E53" i="65"/>
  <c r="G56" i="65"/>
  <c r="E56" i="65"/>
  <c r="G57" i="65"/>
  <c r="E57" i="65"/>
  <c r="G58" i="65"/>
  <c r="E58" i="65"/>
  <c r="G59" i="65"/>
  <c r="E59" i="65"/>
  <c r="G60" i="65"/>
  <c r="E60" i="65"/>
  <c r="G61" i="65"/>
  <c r="E61" i="65"/>
  <c r="G62" i="65"/>
  <c r="E62" i="65"/>
  <c r="G63" i="65"/>
  <c r="E63" i="65"/>
  <c r="G64" i="65"/>
  <c r="E64" i="65"/>
  <c r="J65" i="65"/>
  <c r="K65" i="65"/>
  <c r="G65" i="65"/>
  <c r="E65" i="65"/>
  <c r="G66" i="65"/>
  <c r="E66" i="65"/>
  <c r="G67" i="65"/>
  <c r="E67" i="65"/>
  <c r="G68" i="65"/>
  <c r="E68" i="65"/>
  <c r="G69" i="65"/>
  <c r="E69" i="65"/>
  <c r="G70" i="65"/>
  <c r="E70" i="65"/>
  <c r="G71" i="65"/>
  <c r="E71" i="65"/>
  <c r="G72" i="65"/>
  <c r="E72" i="65"/>
  <c r="G73" i="65"/>
  <c r="E73" i="65"/>
  <c r="G74" i="65"/>
  <c r="E74" i="65"/>
  <c r="G75" i="65"/>
  <c r="E75" i="65"/>
  <c r="G76" i="65"/>
  <c r="E76" i="65"/>
  <c r="G77" i="65"/>
  <c r="E77" i="65"/>
  <c r="G78" i="65"/>
  <c r="E78" i="65"/>
  <c r="G79" i="65"/>
  <c r="E79" i="65"/>
  <c r="G80" i="65"/>
  <c r="E80" i="65"/>
  <c r="G81" i="65"/>
  <c r="E81" i="65"/>
  <c r="G87" i="65"/>
  <c r="E87" i="65"/>
  <c r="G88" i="65"/>
  <c r="E88" i="65"/>
  <c r="G89" i="65"/>
  <c r="E89" i="65"/>
  <c r="G90" i="65"/>
  <c r="E90" i="65"/>
  <c r="G91" i="65"/>
  <c r="E91" i="65"/>
  <c r="G92" i="65"/>
  <c r="E92" i="65"/>
  <c r="G93" i="65"/>
  <c r="E93" i="65"/>
  <c r="G94" i="65"/>
  <c r="E94" i="65"/>
  <c r="G95" i="65"/>
  <c r="E95" i="65"/>
  <c r="G99" i="65"/>
  <c r="E99" i="65"/>
  <c r="G104" i="65"/>
  <c r="F104" i="65"/>
  <c r="E104" i="65"/>
  <c r="G105" i="65"/>
  <c r="F105" i="65"/>
  <c r="E105" i="65"/>
  <c r="G106" i="65"/>
  <c r="E106" i="65"/>
  <c r="G107" i="65"/>
  <c r="E107" i="65"/>
  <c r="G108" i="65"/>
  <c r="E108" i="65"/>
  <c r="G109" i="65"/>
  <c r="E109" i="65"/>
  <c r="G110" i="65"/>
  <c r="E110" i="65"/>
  <c r="G111" i="65"/>
  <c r="E111" i="65"/>
  <c r="G112" i="65"/>
  <c r="E112" i="65"/>
  <c r="G121" i="65"/>
  <c r="E121" i="65"/>
  <c r="G122" i="65"/>
  <c r="E122" i="65"/>
  <c r="G123" i="65"/>
  <c r="E123" i="65"/>
  <c r="G124" i="65"/>
  <c r="E124" i="65"/>
  <c r="G125" i="65"/>
  <c r="E125" i="65"/>
  <c r="G126" i="65"/>
  <c r="E126" i="65"/>
  <c r="G127" i="65"/>
  <c r="E127" i="65"/>
  <c r="G128" i="65"/>
  <c r="E128" i="65"/>
  <c r="G129" i="65"/>
  <c r="E129" i="65"/>
  <c r="G130" i="65"/>
  <c r="E130" i="65"/>
  <c r="G131" i="65"/>
  <c r="E131" i="65"/>
  <c r="G132" i="65"/>
  <c r="E132" i="65"/>
  <c r="G133" i="65"/>
  <c r="E133" i="65"/>
  <c r="G134" i="65"/>
  <c r="E134" i="65"/>
  <c r="G135" i="65"/>
  <c r="E135" i="65"/>
  <c r="G136" i="65"/>
  <c r="E136" i="65"/>
  <c r="G137" i="65"/>
  <c r="E137" i="65"/>
  <c r="G138" i="65"/>
  <c r="E138" i="65"/>
  <c r="G139" i="65"/>
  <c r="E139" i="65"/>
  <c r="G140" i="65"/>
  <c r="E140" i="65"/>
  <c r="G141" i="65"/>
  <c r="E141" i="65"/>
  <c r="G155" i="65"/>
  <c r="E155" i="65"/>
  <c r="G156" i="65"/>
  <c r="E156" i="65"/>
  <c r="G157" i="65"/>
  <c r="E157" i="65"/>
  <c r="G158" i="65"/>
  <c r="E158" i="65"/>
  <c r="G159" i="65"/>
  <c r="E159" i="65"/>
  <c r="G160" i="65"/>
  <c r="E160" i="65"/>
  <c r="G161" i="65"/>
  <c r="F161" i="65"/>
  <c r="E161" i="65"/>
  <c r="G162" i="65"/>
  <c r="E162" i="65"/>
  <c r="G163" i="65"/>
  <c r="E163" i="65"/>
  <c r="G164" i="65"/>
  <c r="E164" i="65"/>
  <c r="G165" i="65"/>
  <c r="E165" i="65"/>
  <c r="G166" i="65"/>
  <c r="E166" i="65"/>
  <c r="E167" i="65"/>
  <c r="G168" i="65"/>
  <c r="E168" i="65"/>
  <c r="G185" i="65"/>
  <c r="E185" i="65"/>
  <c r="G186" i="65"/>
  <c r="E186" i="65"/>
  <c r="G187" i="65"/>
  <c r="E187" i="65"/>
  <c r="G188" i="65"/>
  <c r="E188" i="65"/>
  <c r="G189" i="65"/>
  <c r="E189" i="65"/>
  <c r="G190" i="65"/>
  <c r="E190" i="65"/>
  <c r="G191" i="65"/>
  <c r="E191" i="65"/>
  <c r="G192" i="65"/>
  <c r="E192" i="65"/>
  <c r="G193" i="65"/>
  <c r="E193" i="65"/>
  <c r="G194" i="65"/>
  <c r="E194" i="65"/>
  <c r="G195" i="65"/>
  <c r="E195" i="65"/>
  <c r="G196" i="65"/>
  <c r="E196" i="65"/>
  <c r="G197" i="65"/>
  <c r="E197" i="65"/>
  <c r="G198" i="65"/>
  <c r="E198" i="65"/>
  <c r="G199" i="65"/>
  <c r="E199" i="65"/>
  <c r="G200" i="65"/>
  <c r="E200" i="65"/>
  <c r="G201" i="65"/>
  <c r="E201" i="65"/>
  <c r="G202" i="65"/>
  <c r="E202" i="65"/>
  <c r="G203" i="65"/>
  <c r="E203" i="65"/>
  <c r="G204" i="65"/>
  <c r="E204" i="65"/>
  <c r="G205" i="65"/>
  <c r="E205" i="65"/>
  <c r="G206" i="65"/>
  <c r="E206" i="65"/>
  <c r="G207" i="65"/>
  <c r="E207" i="65"/>
  <c r="G208" i="65"/>
  <c r="E208" i="65"/>
  <c r="G209" i="65"/>
  <c r="E209" i="65"/>
  <c r="G210" i="65"/>
  <c r="E210" i="65"/>
  <c r="G212" i="65"/>
  <c r="E212" i="65"/>
  <c r="G213" i="65"/>
  <c r="E213" i="65"/>
  <c r="G214" i="65"/>
  <c r="E214" i="65"/>
  <c r="G215" i="65"/>
  <c r="E215" i="65"/>
  <c r="G216" i="65"/>
  <c r="E216" i="65"/>
  <c r="G217" i="65"/>
  <c r="E217" i="65"/>
  <c r="G218" i="65"/>
  <c r="E218" i="65"/>
  <c r="G219" i="65"/>
  <c r="E219" i="65"/>
  <c r="G220" i="65"/>
  <c r="E220" i="65"/>
  <c r="G221" i="65"/>
  <c r="E221" i="65"/>
  <c r="G222" i="65"/>
  <c r="E222" i="65"/>
  <c r="G223" i="65"/>
  <c r="E223" i="65"/>
  <c r="G224" i="65"/>
  <c r="E224" i="65"/>
  <c r="G225" i="65"/>
  <c r="E225" i="65"/>
  <c r="G226" i="65"/>
  <c r="E226" i="65"/>
  <c r="G227" i="65"/>
  <c r="E227" i="65"/>
  <c r="G228" i="65"/>
  <c r="E228" i="65"/>
  <c r="G229" i="65"/>
  <c r="E229" i="65"/>
  <c r="E232" i="65"/>
  <c r="F232" i="65"/>
  <c r="I232" i="65"/>
  <c r="H232" i="65"/>
  <c r="J31" i="65"/>
  <c r="J232" i="65"/>
  <c r="K232" i="65"/>
  <c r="L232" i="65"/>
  <c r="M232" i="65"/>
  <c r="N232" i="65"/>
  <c r="O232" i="65"/>
  <c r="P232" i="65"/>
  <c r="Q232" i="65"/>
  <c r="R232" i="65"/>
  <c r="S232" i="65"/>
  <c r="T232" i="65"/>
  <c r="U232" i="65"/>
  <c r="G31" i="65"/>
  <c r="G32" i="65"/>
  <c r="G33" i="65"/>
  <c r="G49" i="65"/>
  <c r="G51" i="65"/>
  <c r="G54" i="65"/>
  <c r="G55" i="65"/>
  <c r="G96" i="65"/>
  <c r="G97" i="65"/>
  <c r="G98" i="65"/>
  <c r="G103" i="65"/>
  <c r="G120" i="65"/>
  <c r="G232" i="65"/>
  <c r="F9" i="3"/>
  <c r="G9" i="3"/>
  <c r="H9" i="3"/>
  <c r="I9" i="3"/>
  <c r="J9" i="3"/>
  <c r="K9" i="3"/>
  <c r="L9" i="3"/>
  <c r="M9" i="3"/>
  <c r="N9" i="3"/>
  <c r="O9" i="3"/>
  <c r="E9" i="3"/>
  <c r="D9" i="3"/>
  <c r="D11" i="3"/>
  <c r="D12" i="3"/>
  <c r="D13" i="3"/>
  <c r="D14" i="3"/>
  <c r="D15" i="3"/>
  <c r="D16" i="3"/>
  <c r="D17" i="3"/>
  <c r="D18" i="3"/>
  <c r="D19" i="3"/>
  <c r="D20" i="3"/>
  <c r="D21" i="3"/>
  <c r="D37" i="9"/>
  <c r="E37" i="9"/>
  <c r="G37" i="9"/>
  <c r="D31" i="9"/>
  <c r="E31" i="9"/>
  <c r="G31" i="9"/>
  <c r="I39" i="1"/>
  <c r="J39" i="1"/>
  <c r="K39" i="1"/>
  <c r="L39" i="1"/>
  <c r="M39" i="1"/>
  <c r="N39" i="1"/>
  <c r="O39" i="1"/>
  <c r="P39" i="1"/>
  <c r="Q39" i="1"/>
  <c r="R39" i="1"/>
  <c r="S39" i="1"/>
  <c r="H39" i="1"/>
  <c r="E27" i="71"/>
  <c r="K58" i="1"/>
  <c r="I58" i="1"/>
  <c r="J58" i="1"/>
  <c r="L58" i="1"/>
  <c r="M58" i="1"/>
  <c r="N58" i="1"/>
  <c r="O58" i="1"/>
  <c r="P58" i="1"/>
  <c r="Q58" i="1"/>
  <c r="R58" i="1"/>
  <c r="S58" i="1"/>
  <c r="H58" i="1"/>
  <c r="E43" i="71"/>
  <c r="K57" i="1"/>
  <c r="L57" i="1"/>
  <c r="M57" i="1"/>
  <c r="Q57" i="1"/>
  <c r="R57" i="1"/>
  <c r="I57" i="1"/>
  <c r="J57" i="1"/>
  <c r="N57" i="1"/>
  <c r="O57" i="1"/>
  <c r="P57" i="1"/>
  <c r="S57" i="1"/>
  <c r="H57" i="1"/>
  <c r="E42" i="71"/>
  <c r="I56" i="1"/>
  <c r="J56" i="1"/>
  <c r="K56" i="1"/>
  <c r="L56" i="1"/>
  <c r="M56" i="1"/>
  <c r="N56" i="1"/>
  <c r="O56" i="1"/>
  <c r="P56" i="1"/>
  <c r="Q56" i="1"/>
  <c r="R56" i="1"/>
  <c r="S56" i="1"/>
  <c r="H56" i="1"/>
  <c r="E41" i="71"/>
  <c r="I55" i="1"/>
  <c r="J55" i="1"/>
  <c r="K55" i="1"/>
  <c r="L55" i="1"/>
  <c r="M55" i="1"/>
  <c r="N55" i="1"/>
  <c r="O55" i="1"/>
  <c r="P55" i="1"/>
  <c r="Q55" i="1"/>
  <c r="R55" i="1"/>
  <c r="S55" i="1"/>
  <c r="H55" i="1"/>
  <c r="E40" i="71"/>
  <c r="R54" i="1"/>
  <c r="I54" i="1"/>
  <c r="J54" i="1"/>
  <c r="K54" i="1"/>
  <c r="L54" i="1"/>
  <c r="M54" i="1"/>
  <c r="N54" i="1"/>
  <c r="O54" i="1"/>
  <c r="P54" i="1"/>
  <c r="Q54" i="1"/>
  <c r="S54" i="1"/>
  <c r="H54" i="1"/>
  <c r="E39" i="71"/>
  <c r="I48" i="1"/>
  <c r="J48" i="1"/>
  <c r="K48" i="1"/>
  <c r="L48" i="1"/>
  <c r="M48" i="1"/>
  <c r="N48" i="1"/>
  <c r="O48" i="1"/>
  <c r="P48" i="1"/>
  <c r="Q48" i="1"/>
  <c r="R48" i="1"/>
  <c r="S48" i="1"/>
  <c r="H48" i="1"/>
  <c r="E38" i="71"/>
  <c r="I47" i="1"/>
  <c r="J47" i="1"/>
  <c r="K47" i="1"/>
  <c r="L47" i="1"/>
  <c r="M47" i="1"/>
  <c r="N47" i="1"/>
  <c r="O47" i="1"/>
  <c r="P47" i="1"/>
  <c r="Q47" i="1"/>
  <c r="R47" i="1"/>
  <c r="S47" i="1"/>
  <c r="H47" i="1"/>
  <c r="E37" i="71"/>
  <c r="I42" i="1"/>
  <c r="J42" i="1"/>
  <c r="K42" i="1"/>
  <c r="L42" i="1"/>
  <c r="M42" i="1"/>
  <c r="N42" i="1"/>
  <c r="O42" i="1"/>
  <c r="P42" i="1"/>
  <c r="Q42" i="1"/>
  <c r="R42" i="1"/>
  <c r="S42" i="1"/>
  <c r="H42" i="1"/>
  <c r="E36" i="71"/>
  <c r="I41" i="1"/>
  <c r="J41" i="1"/>
  <c r="K41" i="1"/>
  <c r="L41" i="1"/>
  <c r="M41" i="1"/>
  <c r="N41" i="1"/>
  <c r="O41" i="1"/>
  <c r="P41" i="1"/>
  <c r="Q41" i="1"/>
  <c r="R41" i="1"/>
  <c r="S41" i="1"/>
  <c r="H41" i="1"/>
  <c r="E35" i="71"/>
  <c r="I53" i="1"/>
  <c r="J53" i="1"/>
  <c r="K53" i="1"/>
  <c r="L53" i="1"/>
  <c r="M53" i="1"/>
  <c r="N53" i="1"/>
  <c r="O53" i="1"/>
  <c r="P53" i="1"/>
  <c r="Q53" i="1"/>
  <c r="R53" i="1"/>
  <c r="S53" i="1"/>
  <c r="H53" i="1"/>
  <c r="E34" i="71"/>
  <c r="K52" i="1"/>
  <c r="I52" i="1"/>
  <c r="J52" i="1"/>
  <c r="L52" i="1"/>
  <c r="M52" i="1"/>
  <c r="N52" i="1"/>
  <c r="O52" i="1"/>
  <c r="P52" i="1"/>
  <c r="Q52" i="1"/>
  <c r="R52" i="1"/>
  <c r="S52" i="1"/>
  <c r="H52" i="1"/>
  <c r="E33" i="71"/>
  <c r="I51" i="1"/>
  <c r="K51" i="1"/>
  <c r="L51" i="1"/>
  <c r="N51" i="1"/>
  <c r="O51" i="1"/>
  <c r="P51" i="1"/>
  <c r="Q51" i="1"/>
  <c r="S51" i="1"/>
  <c r="E32" i="71"/>
  <c r="I50" i="1"/>
  <c r="J50" i="1"/>
  <c r="K50" i="1"/>
  <c r="L50" i="1"/>
  <c r="M50" i="1"/>
  <c r="N50" i="1"/>
  <c r="O50" i="1"/>
  <c r="P50" i="1"/>
  <c r="Q50" i="1"/>
  <c r="R50" i="1"/>
  <c r="S50" i="1"/>
  <c r="H50" i="1"/>
  <c r="E31" i="71"/>
  <c r="K49" i="1"/>
  <c r="J49" i="1"/>
  <c r="I49" i="1"/>
  <c r="L49" i="1"/>
  <c r="M49" i="1"/>
  <c r="N49" i="1"/>
  <c r="O49" i="1"/>
  <c r="P49" i="1"/>
  <c r="Q49" i="1"/>
  <c r="R49" i="1"/>
  <c r="S49" i="1"/>
  <c r="H49" i="1"/>
  <c r="E30" i="71"/>
  <c r="I40" i="1"/>
  <c r="J40" i="1"/>
  <c r="K40" i="1"/>
  <c r="L40" i="1"/>
  <c r="M40" i="1"/>
  <c r="N40" i="1"/>
  <c r="O40" i="1"/>
  <c r="P40" i="1"/>
  <c r="Q40" i="1"/>
  <c r="R40" i="1"/>
  <c r="S40" i="1"/>
  <c r="H40" i="1"/>
  <c r="E29" i="71"/>
  <c r="I46" i="1"/>
  <c r="J46" i="1"/>
  <c r="K46" i="1"/>
  <c r="L46" i="1"/>
  <c r="M46" i="1"/>
  <c r="N46" i="1"/>
  <c r="O46" i="1"/>
  <c r="P46" i="1"/>
  <c r="Q46" i="1"/>
  <c r="R46" i="1"/>
  <c r="S46" i="1"/>
  <c r="H46" i="1"/>
  <c r="E28" i="71"/>
  <c r="N29" i="47"/>
  <c r="N29" i="48"/>
  <c r="R29" i="1"/>
  <c r="F29" i="48"/>
  <c r="F29" i="47"/>
  <c r="J29" i="1"/>
  <c r="E29" i="47"/>
  <c r="E29" i="48"/>
  <c r="I29" i="1"/>
  <c r="G29" i="47"/>
  <c r="G29" i="48"/>
  <c r="K29" i="1"/>
  <c r="H29" i="47"/>
  <c r="H29" i="48"/>
  <c r="L29" i="1"/>
  <c r="I29" i="47"/>
  <c r="I29" i="48"/>
  <c r="M29" i="1"/>
  <c r="J29" i="47"/>
  <c r="J29" i="48"/>
  <c r="N29" i="1"/>
  <c r="K29" i="47"/>
  <c r="K29" i="48"/>
  <c r="O29" i="1"/>
  <c r="L29" i="47"/>
  <c r="L29" i="48"/>
  <c r="P29" i="1"/>
  <c r="M29" i="48"/>
  <c r="O29" i="47"/>
  <c r="O29" i="48"/>
  <c r="S29" i="1"/>
  <c r="E26" i="71"/>
  <c r="I28" i="1"/>
  <c r="J28" i="1"/>
  <c r="K28" i="1"/>
  <c r="L28" i="1"/>
  <c r="M28" i="1"/>
  <c r="N28" i="1"/>
  <c r="O28" i="1"/>
  <c r="P28" i="1"/>
  <c r="Q28" i="1"/>
  <c r="R28" i="1"/>
  <c r="S28" i="1"/>
  <c r="H28" i="1"/>
  <c r="E25" i="71"/>
  <c r="I27" i="1"/>
  <c r="J27" i="1"/>
  <c r="K27" i="1"/>
  <c r="L27" i="1"/>
  <c r="M27" i="1"/>
  <c r="N27" i="1"/>
  <c r="O27" i="1"/>
  <c r="P27" i="1"/>
  <c r="Q27" i="1"/>
  <c r="R27" i="1"/>
  <c r="S27" i="1"/>
  <c r="H27" i="1"/>
  <c r="E24" i="71"/>
  <c r="I26" i="1"/>
  <c r="J26" i="1"/>
  <c r="K26" i="1"/>
  <c r="L26" i="1"/>
  <c r="M26" i="1"/>
  <c r="N26" i="1"/>
  <c r="O26" i="1"/>
  <c r="P26" i="1"/>
  <c r="Q26" i="1"/>
  <c r="R26" i="1"/>
  <c r="S26" i="1"/>
  <c r="H26" i="1"/>
  <c r="E23" i="71"/>
  <c r="I25" i="1"/>
  <c r="J25" i="1"/>
  <c r="K25" i="1"/>
  <c r="L25" i="1"/>
  <c r="M25" i="1"/>
  <c r="N25" i="1"/>
  <c r="O25" i="1"/>
  <c r="P25" i="1"/>
  <c r="Q25" i="1"/>
  <c r="R25" i="1"/>
  <c r="S25" i="1"/>
  <c r="H25" i="1"/>
  <c r="E22" i="71"/>
  <c r="I24" i="1"/>
  <c r="J24" i="1"/>
  <c r="K24" i="1"/>
  <c r="L24" i="1"/>
  <c r="M24" i="1"/>
  <c r="N24" i="1"/>
  <c r="O24" i="1"/>
  <c r="P24" i="1"/>
  <c r="Q24" i="1"/>
  <c r="R24" i="1"/>
  <c r="S24" i="1"/>
  <c r="H24" i="1"/>
  <c r="E21" i="71"/>
  <c r="J22" i="1"/>
  <c r="S22" i="1"/>
  <c r="I22" i="1"/>
  <c r="K22" i="1"/>
  <c r="L22" i="1"/>
  <c r="M22" i="1"/>
  <c r="N22" i="1"/>
  <c r="O22" i="1"/>
  <c r="P22" i="1"/>
  <c r="Q22" i="1"/>
  <c r="R22" i="1"/>
  <c r="H22" i="1"/>
  <c r="E18" i="71"/>
  <c r="K21" i="1"/>
  <c r="I21" i="1"/>
  <c r="L21" i="1"/>
  <c r="N21" i="1"/>
  <c r="O21" i="1"/>
  <c r="P21" i="1"/>
  <c r="Q21" i="1"/>
  <c r="S21" i="1"/>
  <c r="E17" i="71"/>
  <c r="G20" i="47"/>
  <c r="G22" i="27"/>
  <c r="G20" i="48"/>
  <c r="K20" i="1"/>
  <c r="F22" i="27"/>
  <c r="O20" i="47"/>
  <c r="O22" i="27"/>
  <c r="O20" i="48"/>
  <c r="S20" i="1"/>
  <c r="N22" i="27"/>
  <c r="H20" i="47"/>
  <c r="H22" i="27"/>
  <c r="H20" i="48"/>
  <c r="L20" i="1"/>
  <c r="I22" i="27"/>
  <c r="M22" i="27"/>
  <c r="M20" i="48"/>
  <c r="E20" i="47"/>
  <c r="E20" i="48"/>
  <c r="E22" i="27"/>
  <c r="I20" i="1"/>
  <c r="J22" i="27"/>
  <c r="J20" i="47"/>
  <c r="J20" i="48"/>
  <c r="N20" i="1"/>
  <c r="K22" i="27"/>
  <c r="K20" i="47"/>
  <c r="K20" i="48"/>
  <c r="O20" i="1"/>
  <c r="L22" i="27"/>
  <c r="L20" i="47"/>
  <c r="L20" i="48"/>
  <c r="P20" i="1"/>
  <c r="E16" i="71"/>
  <c r="L19" i="1"/>
  <c r="M19" i="1"/>
  <c r="Q19" i="1"/>
  <c r="I19" i="1"/>
  <c r="J19" i="1"/>
  <c r="K19" i="1"/>
  <c r="N19" i="1"/>
  <c r="O19" i="1"/>
  <c r="P19" i="1"/>
  <c r="R19" i="1"/>
  <c r="S19" i="1"/>
  <c r="H19" i="1"/>
  <c r="E15" i="71"/>
  <c r="K17" i="1"/>
  <c r="I17" i="1"/>
  <c r="J17" i="1"/>
  <c r="L17" i="1"/>
  <c r="M17" i="1"/>
  <c r="N17" i="1"/>
  <c r="O17" i="1"/>
  <c r="P17" i="1"/>
  <c r="Q17" i="1"/>
  <c r="R17" i="1"/>
  <c r="S17" i="1"/>
  <c r="H17" i="1"/>
  <c r="E13" i="71"/>
  <c r="J15" i="1"/>
  <c r="M15" i="1"/>
  <c r="K15" i="1"/>
  <c r="I15" i="1"/>
  <c r="L15" i="1"/>
  <c r="N15" i="1"/>
  <c r="O15" i="1"/>
  <c r="P15" i="1"/>
  <c r="Q15" i="1"/>
  <c r="R15" i="1"/>
  <c r="S15" i="1"/>
  <c r="H15" i="1"/>
  <c r="E12" i="71"/>
  <c r="I14" i="1"/>
  <c r="J14" i="1"/>
  <c r="K14" i="1"/>
  <c r="L14" i="1"/>
  <c r="M14" i="1"/>
  <c r="N14" i="1"/>
  <c r="O14" i="1"/>
  <c r="P14" i="1"/>
  <c r="Q14" i="1"/>
  <c r="R14" i="1"/>
  <c r="S14" i="1"/>
  <c r="H14" i="1"/>
  <c r="E11" i="71"/>
  <c r="K13" i="1"/>
  <c r="R13" i="1"/>
  <c r="I13" i="1"/>
  <c r="J13" i="1"/>
  <c r="L13" i="1"/>
  <c r="M13" i="1"/>
  <c r="N13" i="1"/>
  <c r="O13" i="1"/>
  <c r="P13" i="1"/>
  <c r="Q13" i="1"/>
  <c r="S13" i="1"/>
  <c r="H13" i="1"/>
  <c r="E10" i="71"/>
  <c r="K12" i="1"/>
  <c r="Q12" i="1"/>
  <c r="M12" i="1"/>
  <c r="J12" i="1"/>
  <c r="L12" i="1"/>
  <c r="E14" i="27"/>
  <c r="I12" i="1"/>
  <c r="N12" i="1"/>
  <c r="O12" i="1"/>
  <c r="P12" i="1"/>
  <c r="R12" i="1"/>
  <c r="S12" i="1"/>
  <c r="H12" i="1"/>
  <c r="E9" i="71"/>
  <c r="K11" i="1"/>
  <c r="J11" i="1"/>
  <c r="L11" i="1"/>
  <c r="M11" i="1"/>
  <c r="R11" i="1"/>
  <c r="S11" i="1"/>
  <c r="I11" i="1"/>
  <c r="N11" i="1"/>
  <c r="K13" i="27"/>
  <c r="O11" i="1"/>
  <c r="P11" i="1"/>
  <c r="E8" i="71"/>
  <c r="I10" i="1"/>
  <c r="J10" i="1"/>
  <c r="K10" i="1"/>
  <c r="L10" i="1"/>
  <c r="M10" i="1"/>
  <c r="N10" i="1"/>
  <c r="O10" i="1"/>
  <c r="P10" i="1"/>
  <c r="Q10" i="1"/>
  <c r="R10" i="1"/>
  <c r="S10" i="1"/>
  <c r="H10" i="1"/>
  <c r="E7" i="71"/>
  <c r="R9" i="1"/>
  <c r="I9" i="1"/>
  <c r="J9" i="1"/>
  <c r="K9" i="1"/>
  <c r="L9" i="1"/>
  <c r="M9" i="1"/>
  <c r="N9" i="1"/>
  <c r="O9" i="1"/>
  <c r="P9" i="1"/>
  <c r="Q9" i="1"/>
  <c r="S9" i="1"/>
  <c r="H9" i="1"/>
  <c r="E6" i="71"/>
  <c r="K18" i="1"/>
  <c r="K8" i="1"/>
  <c r="Q18" i="1"/>
  <c r="M18" i="1"/>
  <c r="M8" i="1"/>
  <c r="J18" i="1"/>
  <c r="J8" i="1"/>
  <c r="L18" i="1"/>
  <c r="L8" i="1"/>
  <c r="R18" i="1"/>
  <c r="R8" i="1"/>
  <c r="S18" i="1"/>
  <c r="S8" i="1"/>
  <c r="E8" i="48"/>
  <c r="E10" i="27"/>
  <c r="E8" i="47"/>
  <c r="I8" i="1"/>
  <c r="N18" i="1"/>
  <c r="N8" i="1"/>
  <c r="O18" i="1"/>
  <c r="O8" i="1"/>
  <c r="P18" i="1"/>
  <c r="P8" i="1"/>
  <c r="E5" i="71"/>
  <c r="E46" i="71"/>
  <c r="F46" i="71"/>
  <c r="F43" i="71"/>
  <c r="F42" i="71"/>
  <c r="F41" i="71"/>
  <c r="F40" i="71"/>
  <c r="F39" i="71"/>
  <c r="F38" i="71"/>
  <c r="F37" i="71"/>
  <c r="F25" i="71"/>
  <c r="F36" i="71"/>
  <c r="F35" i="71"/>
  <c r="F33" i="71"/>
  <c r="F32" i="71"/>
  <c r="F31" i="71"/>
  <c r="I30" i="71"/>
  <c r="F30" i="71"/>
  <c r="F29" i="71"/>
  <c r="F27" i="71"/>
  <c r="Q24" i="71"/>
  <c r="Q26" i="71"/>
  <c r="F26" i="71"/>
  <c r="F24" i="71"/>
  <c r="F23" i="71"/>
  <c r="F22" i="71"/>
  <c r="F21" i="71"/>
  <c r="F18" i="71"/>
  <c r="F17" i="71"/>
  <c r="F16" i="71"/>
  <c r="F15" i="71"/>
  <c r="E14" i="71"/>
  <c r="F13" i="71"/>
  <c r="F12" i="71"/>
  <c r="F11" i="71"/>
  <c r="F10" i="71"/>
  <c r="I9" i="71"/>
  <c r="H9" i="71"/>
  <c r="G9" i="71"/>
  <c r="F9" i="71"/>
  <c r="I8" i="71"/>
  <c r="H8" i="71"/>
  <c r="G8" i="71"/>
  <c r="F8" i="71"/>
  <c r="I7" i="71"/>
  <c r="H7" i="71"/>
  <c r="G7" i="71"/>
  <c r="F7" i="71"/>
  <c r="I6" i="71"/>
  <c r="H6" i="71"/>
  <c r="F6" i="71"/>
  <c r="F5" i="71"/>
  <c r="I4" i="71"/>
  <c r="E4" i="71"/>
  <c r="F4" i="71"/>
  <c r="D54" i="66"/>
  <c r="B21" i="49"/>
  <c r="D53" i="66"/>
  <c r="B20" i="49"/>
  <c r="D17" i="66"/>
  <c r="B19" i="49"/>
  <c r="D14" i="66"/>
  <c r="B18" i="49"/>
  <c r="D13" i="66"/>
  <c r="B17" i="49"/>
  <c r="D11" i="66"/>
  <c r="B16" i="49"/>
  <c r="D25" i="47"/>
  <c r="B10" i="49"/>
  <c r="D28" i="47"/>
  <c r="B9" i="49"/>
  <c r="D26" i="47"/>
  <c r="B8" i="49"/>
  <c r="D50" i="47"/>
  <c r="B5" i="49"/>
  <c r="D49" i="47"/>
  <c r="B4" i="49"/>
  <c r="E23" i="2"/>
  <c r="F23" i="2"/>
  <c r="G23" i="2"/>
  <c r="H23" i="2"/>
  <c r="I23" i="2"/>
  <c r="J23" i="2"/>
  <c r="K23" i="2"/>
  <c r="L23" i="2"/>
  <c r="M23" i="2"/>
  <c r="N23" i="2"/>
  <c r="O23" i="2"/>
  <c r="D23" i="2"/>
  <c r="D10" i="9"/>
  <c r="D11" i="27"/>
  <c r="E10" i="9"/>
  <c r="F10" i="9"/>
  <c r="D11" i="9"/>
  <c r="D12" i="27"/>
  <c r="E11" i="9"/>
  <c r="F11" i="9"/>
  <c r="D32" i="9"/>
  <c r="D33" i="9"/>
  <c r="D34" i="9"/>
  <c r="D35" i="9"/>
  <c r="D36" i="9"/>
  <c r="D38" i="9"/>
  <c r="D40" i="9"/>
  <c r="D41" i="9"/>
  <c r="D42" i="9"/>
  <c r="D43" i="9"/>
  <c r="D45" i="9"/>
  <c r="D46" i="9"/>
  <c r="D30" i="9"/>
  <c r="D59" i="9"/>
  <c r="D58" i="9"/>
  <c r="D57" i="9"/>
  <c r="D56" i="9"/>
  <c r="D55" i="9"/>
  <c r="D54" i="9"/>
  <c r="D53" i="9"/>
  <c r="D52" i="9"/>
  <c r="D51" i="9"/>
  <c r="D50" i="9"/>
  <c r="D49" i="9"/>
  <c r="D48" i="9"/>
  <c r="D47" i="9"/>
  <c r="D29" i="9"/>
  <c r="D28" i="9"/>
  <c r="D27" i="9"/>
  <c r="D26" i="9"/>
  <c r="D25" i="9"/>
  <c r="D23" i="9"/>
  <c r="D22" i="9"/>
  <c r="D21" i="9"/>
  <c r="D20" i="9"/>
  <c r="D19" i="9"/>
  <c r="D18" i="9"/>
  <c r="D18" i="27"/>
  <c r="E17" i="9"/>
  <c r="D17" i="9"/>
  <c r="D16" i="9"/>
  <c r="D15" i="9"/>
  <c r="D14" i="9"/>
  <c r="D13" i="9"/>
  <c r="D12" i="9"/>
  <c r="D9" i="9"/>
  <c r="D57" i="47"/>
  <c r="D9" i="66"/>
  <c r="D15" i="66"/>
  <c r="D16" i="66"/>
  <c r="D18" i="66"/>
  <c r="D19" i="66"/>
  <c r="D20" i="66"/>
  <c r="D21" i="66"/>
  <c r="D23" i="66"/>
  <c r="D24" i="66"/>
  <c r="D25" i="66"/>
  <c r="D26" i="66"/>
  <c r="D27" i="66"/>
  <c r="D28" i="66"/>
  <c r="D29" i="66"/>
  <c r="D30" i="66"/>
  <c r="D31" i="66"/>
  <c r="F32" i="66"/>
  <c r="G32" i="66"/>
  <c r="H32" i="66"/>
  <c r="I32" i="66"/>
  <c r="J32" i="66"/>
  <c r="K32" i="66"/>
  <c r="L32" i="66"/>
  <c r="M32" i="66"/>
  <c r="N32" i="66"/>
  <c r="O32" i="66"/>
  <c r="D32" i="66"/>
  <c r="D33" i="66"/>
  <c r="D34" i="66"/>
  <c r="D35" i="66"/>
  <c r="D36" i="66"/>
  <c r="D37" i="66"/>
  <c r="D38" i="66"/>
  <c r="D39" i="66"/>
  <c r="D40" i="66"/>
  <c r="D41" i="66"/>
  <c r="D42" i="66"/>
  <c r="D43" i="66"/>
  <c r="D44" i="66"/>
  <c r="D45" i="66"/>
  <c r="D46" i="66"/>
  <c r="D47" i="66"/>
  <c r="D48" i="66"/>
  <c r="D49" i="66"/>
  <c r="D50" i="66"/>
  <c r="D51" i="66"/>
  <c r="D52" i="66"/>
  <c r="D55" i="66"/>
  <c r="D56" i="66"/>
  <c r="D57" i="66"/>
  <c r="D58" i="66"/>
  <c r="D59" i="66"/>
  <c r="D60" i="66"/>
  <c r="D61" i="66"/>
  <c r="O22" i="66"/>
  <c r="N22" i="66"/>
  <c r="M22" i="66"/>
  <c r="L22" i="66"/>
  <c r="K22" i="66"/>
  <c r="J22" i="66"/>
  <c r="I22" i="66"/>
  <c r="H22" i="66"/>
  <c r="G22" i="66"/>
  <c r="F22" i="66"/>
  <c r="D22" i="66"/>
  <c r="O8" i="66"/>
  <c r="N8" i="66"/>
  <c r="M8" i="66"/>
  <c r="L8" i="66"/>
  <c r="K8" i="66"/>
  <c r="J8" i="66"/>
  <c r="I8" i="66"/>
  <c r="H8" i="66"/>
  <c r="G8" i="66"/>
  <c r="F8" i="66"/>
  <c r="D8" i="66"/>
  <c r="A31" i="65"/>
  <c r="A32" i="65"/>
  <c r="A33" i="65"/>
  <c r="A34" i="65"/>
  <c r="A36" i="65"/>
  <c r="A37" i="65"/>
  <c r="A38" i="65"/>
  <c r="A39" i="65"/>
  <c r="A40" i="65"/>
  <c r="A41" i="65"/>
  <c r="A46" i="65"/>
  <c r="A47" i="65"/>
  <c r="A48" i="65"/>
  <c r="A49" i="65"/>
  <c r="A50" i="65"/>
  <c r="A51" i="65"/>
  <c r="A76" i="65"/>
  <c r="A77" i="65"/>
  <c r="A78" i="65"/>
  <c r="A79" i="65"/>
  <c r="A80" i="65"/>
  <c r="J26" i="49"/>
  <c r="J25" i="49"/>
  <c r="J24" i="49"/>
  <c r="D60" i="27"/>
  <c r="J20" i="49"/>
  <c r="D22" i="27"/>
  <c r="J19" i="49"/>
  <c r="F10" i="27"/>
  <c r="G10" i="27"/>
  <c r="H10" i="27"/>
  <c r="I10" i="27"/>
  <c r="J10" i="27"/>
  <c r="K10" i="27"/>
  <c r="L10" i="27"/>
  <c r="M10" i="27"/>
  <c r="N10" i="27"/>
  <c r="O10" i="27"/>
  <c r="D10" i="27"/>
  <c r="J18" i="49"/>
  <c r="K74" i="1"/>
  <c r="L74" i="1"/>
  <c r="M74" i="1"/>
  <c r="N74" i="1"/>
  <c r="O74" i="1"/>
  <c r="P74" i="1"/>
  <c r="Q74" i="1"/>
  <c r="R74" i="1"/>
  <c r="S74" i="1"/>
  <c r="J74" i="1"/>
  <c r="E54" i="9"/>
  <c r="F54" i="9"/>
  <c r="G54" i="9"/>
  <c r="D57" i="62"/>
  <c r="D19" i="62"/>
  <c r="D21" i="27"/>
  <c r="D18" i="62"/>
  <c r="D20" i="27"/>
  <c r="D17" i="62"/>
  <c r="D19" i="27"/>
  <c r="D16" i="62"/>
  <c r="D15" i="62"/>
  <c r="D17" i="27"/>
  <c r="D14" i="62"/>
  <c r="D16" i="27"/>
  <c r="D13" i="62"/>
  <c r="D15" i="27"/>
  <c r="D12" i="62"/>
  <c r="D14" i="27"/>
  <c r="D11" i="62"/>
  <c r="D13" i="27"/>
  <c r="D10" i="62"/>
  <c r="D9" i="62"/>
  <c r="D8" i="62"/>
  <c r="D7" i="62"/>
  <c r="E8" i="27"/>
  <c r="F8" i="27"/>
  <c r="G8" i="27"/>
  <c r="H8" i="27"/>
  <c r="I8" i="27"/>
  <c r="J8" i="27"/>
  <c r="K8" i="27"/>
  <c r="L8" i="27"/>
  <c r="M8" i="27"/>
  <c r="N8" i="27"/>
  <c r="O8" i="27"/>
  <c r="D8" i="27"/>
  <c r="D6" i="62"/>
  <c r="K27" i="45"/>
  <c r="K28" i="45"/>
  <c r="H8" i="45"/>
  <c r="H7" i="45"/>
  <c r="E32" i="3"/>
  <c r="E22" i="3"/>
  <c r="E8" i="3"/>
  <c r="F32" i="3"/>
  <c r="F22" i="3"/>
  <c r="F8" i="3"/>
  <c r="G32" i="3"/>
  <c r="G22" i="3"/>
  <c r="G8" i="3"/>
  <c r="H32" i="3"/>
  <c r="H22" i="3"/>
  <c r="H8" i="3"/>
  <c r="I32" i="3"/>
  <c r="I22" i="3"/>
  <c r="I8" i="3"/>
  <c r="J32" i="3"/>
  <c r="J22" i="3"/>
  <c r="J8" i="3"/>
  <c r="K32" i="3"/>
  <c r="K22" i="3"/>
  <c r="K8" i="3"/>
  <c r="L32" i="3"/>
  <c r="L22" i="3"/>
  <c r="L8" i="3"/>
  <c r="M32" i="3"/>
  <c r="M22" i="3"/>
  <c r="M8" i="3"/>
  <c r="N32" i="3"/>
  <c r="N22" i="3"/>
  <c r="N8" i="3"/>
  <c r="O32" i="3"/>
  <c r="O22" i="3"/>
  <c r="O8" i="3"/>
  <c r="D22" i="3"/>
  <c r="D8" i="3"/>
  <c r="D34" i="3"/>
  <c r="D39" i="3"/>
  <c r="D43" i="3"/>
  <c r="D32" i="3"/>
  <c r="D31" i="3"/>
  <c r="F10" i="2"/>
  <c r="G10" i="2"/>
  <c r="H10" i="2"/>
  <c r="I10" i="2"/>
  <c r="J10" i="2"/>
  <c r="K10" i="2"/>
  <c r="L10" i="2"/>
  <c r="M10" i="2"/>
  <c r="N10" i="2"/>
  <c r="O10" i="2"/>
  <c r="E10" i="2"/>
  <c r="D24" i="2"/>
  <c r="D25" i="2"/>
  <c r="D26" i="2"/>
  <c r="D27" i="2"/>
  <c r="D28" i="2"/>
  <c r="D29" i="2"/>
  <c r="D30" i="2"/>
  <c r="D31" i="2"/>
  <c r="D32" i="2"/>
  <c r="D33" i="2"/>
  <c r="D34" i="2"/>
  <c r="D35" i="2"/>
  <c r="D13" i="2"/>
  <c r="D14" i="2"/>
  <c r="D15" i="2"/>
  <c r="D16" i="2"/>
  <c r="D17" i="2"/>
  <c r="D18" i="2"/>
  <c r="D19" i="2"/>
  <c r="D20" i="2"/>
  <c r="D21" i="2"/>
  <c r="D22" i="2"/>
  <c r="D12" i="2"/>
  <c r="D10" i="2"/>
  <c r="H59" i="1"/>
  <c r="H60" i="1"/>
  <c r="H61" i="1"/>
  <c r="H66" i="1"/>
  <c r="H68" i="1"/>
  <c r="H70" i="1"/>
  <c r="H71" i="1"/>
  <c r="E28" i="62"/>
  <c r="BD57" i="62"/>
  <c r="BD18" i="62"/>
  <c r="BD17" i="62"/>
  <c r="BD16" i="62"/>
  <c r="BD15" i="62"/>
  <c r="BD14" i="62"/>
  <c r="BD13" i="62"/>
  <c r="BD12" i="62"/>
  <c r="BD11" i="62"/>
  <c r="BD10" i="62"/>
  <c r="BD9" i="62"/>
  <c r="G9" i="62"/>
  <c r="G6" i="62"/>
  <c r="BD8" i="62"/>
  <c r="G59" i="62"/>
  <c r="K13" i="62"/>
  <c r="K6" i="62"/>
  <c r="M15" i="62"/>
  <c r="M6" i="62"/>
  <c r="O17" i="62"/>
  <c r="O6" i="62"/>
  <c r="R6" i="62"/>
  <c r="N16" i="62"/>
  <c r="N6" i="62"/>
  <c r="I11" i="62"/>
  <c r="I6" i="62"/>
  <c r="P18" i="62"/>
  <c r="P6" i="62"/>
  <c r="BD7" i="62"/>
  <c r="U6" i="62"/>
  <c r="T59" i="62"/>
  <c r="S6" i="62"/>
  <c r="J12" i="62"/>
  <c r="J6" i="62"/>
  <c r="L14" i="62"/>
  <c r="L6" i="62"/>
  <c r="H10" i="62"/>
  <c r="H6" i="62"/>
  <c r="F8" i="62"/>
  <c r="F6" i="62"/>
  <c r="S59" i="62"/>
  <c r="W59" i="62"/>
  <c r="W6" i="62"/>
  <c r="U59" i="62"/>
  <c r="V59" i="62"/>
  <c r="V6" i="62"/>
  <c r="R59" i="62"/>
  <c r="H59" i="62"/>
  <c r="K59" i="62"/>
  <c r="I59" i="62"/>
  <c r="L59" i="62"/>
  <c r="F59" i="62"/>
  <c r="E7" i="62"/>
  <c r="E6" i="62"/>
  <c r="M59" i="62"/>
  <c r="N59" i="62"/>
  <c r="P59" i="62"/>
  <c r="J59" i="62"/>
  <c r="T6" i="62"/>
  <c r="E59" i="62"/>
  <c r="I16" i="1"/>
  <c r="J16" i="1"/>
  <c r="K16" i="1"/>
  <c r="L16" i="1"/>
  <c r="M16" i="1"/>
  <c r="N16" i="1"/>
  <c r="O16" i="1"/>
  <c r="P16" i="1"/>
  <c r="Q16" i="1"/>
  <c r="R16" i="1"/>
  <c r="S16" i="1"/>
  <c r="I18" i="1"/>
  <c r="I23" i="1"/>
  <c r="J23" i="1"/>
  <c r="K23" i="1"/>
  <c r="L23" i="1"/>
  <c r="M23" i="1"/>
  <c r="N23" i="1"/>
  <c r="O23" i="1"/>
  <c r="P23" i="1"/>
  <c r="Q23" i="1"/>
  <c r="R23" i="1"/>
  <c r="S23" i="1"/>
  <c r="I30" i="1"/>
  <c r="J30" i="1"/>
  <c r="K30" i="1"/>
  <c r="L30" i="1"/>
  <c r="M30" i="1"/>
  <c r="N30" i="1"/>
  <c r="O30" i="1"/>
  <c r="P30" i="1"/>
  <c r="Q30" i="1"/>
  <c r="R30" i="1"/>
  <c r="S30" i="1"/>
  <c r="I31" i="1"/>
  <c r="J31" i="1"/>
  <c r="K31" i="1"/>
  <c r="L31" i="1"/>
  <c r="M31" i="1"/>
  <c r="N31" i="1"/>
  <c r="O31" i="1"/>
  <c r="P31" i="1"/>
  <c r="Q31" i="1"/>
  <c r="R31" i="1"/>
  <c r="S31" i="1"/>
  <c r="I32" i="1"/>
  <c r="J32" i="1"/>
  <c r="K32" i="1"/>
  <c r="L32" i="1"/>
  <c r="M32" i="1"/>
  <c r="N32" i="1"/>
  <c r="O32" i="1"/>
  <c r="P32" i="1"/>
  <c r="R32" i="1"/>
  <c r="S32" i="1"/>
  <c r="I33" i="1"/>
  <c r="J33" i="1"/>
  <c r="K33" i="1"/>
  <c r="L33" i="1"/>
  <c r="M33" i="1"/>
  <c r="N33" i="1"/>
  <c r="O33" i="1"/>
  <c r="P33" i="1"/>
  <c r="Q33" i="1"/>
  <c r="R33" i="1"/>
  <c r="S33" i="1"/>
  <c r="I34" i="1"/>
  <c r="J34" i="1"/>
  <c r="K34" i="1"/>
  <c r="L34" i="1"/>
  <c r="M34" i="1"/>
  <c r="N34" i="1"/>
  <c r="O34" i="1"/>
  <c r="P34" i="1"/>
  <c r="Q34" i="1"/>
  <c r="R34" i="1"/>
  <c r="S34" i="1"/>
  <c r="I35" i="1"/>
  <c r="J35" i="1"/>
  <c r="K35" i="1"/>
  <c r="L35" i="1"/>
  <c r="M35" i="1"/>
  <c r="N35" i="1"/>
  <c r="O35" i="1"/>
  <c r="P35" i="1"/>
  <c r="Q35" i="1"/>
  <c r="R35" i="1"/>
  <c r="S35" i="1"/>
  <c r="I36" i="1"/>
  <c r="J36" i="1"/>
  <c r="K36" i="1"/>
  <c r="L36" i="1"/>
  <c r="M36" i="1"/>
  <c r="N36" i="1"/>
  <c r="O36" i="1"/>
  <c r="P36" i="1"/>
  <c r="Q36" i="1"/>
  <c r="R36" i="1"/>
  <c r="S36" i="1"/>
  <c r="I37" i="1"/>
  <c r="J37" i="1"/>
  <c r="K37" i="1"/>
  <c r="L37" i="1"/>
  <c r="M37" i="1"/>
  <c r="N37" i="1"/>
  <c r="O37" i="1"/>
  <c r="P37" i="1"/>
  <c r="Q37" i="1"/>
  <c r="R37" i="1"/>
  <c r="S37" i="1"/>
  <c r="I38" i="1"/>
  <c r="J38" i="1"/>
  <c r="K38" i="1"/>
  <c r="L38" i="1"/>
  <c r="M38" i="1"/>
  <c r="N38" i="1"/>
  <c r="O38" i="1"/>
  <c r="P38" i="1"/>
  <c r="Q38" i="1"/>
  <c r="R38" i="1"/>
  <c r="S38" i="1"/>
  <c r="I43" i="1"/>
  <c r="J43" i="1"/>
  <c r="K43" i="1"/>
  <c r="L43" i="1"/>
  <c r="M43" i="1"/>
  <c r="N43" i="1"/>
  <c r="O43" i="1"/>
  <c r="P43" i="1"/>
  <c r="Q43" i="1"/>
  <c r="R43" i="1"/>
  <c r="S43" i="1"/>
  <c r="I44" i="1"/>
  <c r="J44" i="1"/>
  <c r="K44" i="1"/>
  <c r="L44" i="1"/>
  <c r="M44" i="1"/>
  <c r="N44" i="1"/>
  <c r="O44" i="1"/>
  <c r="P44" i="1"/>
  <c r="Q44" i="1"/>
  <c r="R44" i="1"/>
  <c r="S44" i="1"/>
  <c r="I45" i="1"/>
  <c r="J45" i="1"/>
  <c r="K45" i="1"/>
  <c r="L45" i="1"/>
  <c r="M45" i="1"/>
  <c r="N45" i="1"/>
  <c r="O45" i="1"/>
  <c r="P45" i="1"/>
  <c r="Q45" i="1"/>
  <c r="R45" i="1"/>
  <c r="S45" i="1"/>
  <c r="F8" i="48"/>
  <c r="G8" i="48"/>
  <c r="H8" i="48"/>
  <c r="I8" i="48"/>
  <c r="J8" i="48"/>
  <c r="K8" i="48"/>
  <c r="L8" i="48"/>
  <c r="M8" i="48"/>
  <c r="N8" i="48"/>
  <c r="O8" i="48"/>
  <c r="I7" i="48"/>
  <c r="H65" i="1"/>
  <c r="H72" i="1"/>
  <c r="H67" i="1"/>
  <c r="H69" i="1"/>
  <c r="O7" i="48"/>
  <c r="K7" i="48"/>
  <c r="H45" i="1"/>
  <c r="H37" i="1"/>
  <c r="H33" i="1"/>
  <c r="BE18" i="62"/>
  <c r="H16" i="1"/>
  <c r="BE41" i="62"/>
  <c r="H38" i="1"/>
  <c r="BE37" i="62"/>
  <c r="BE16" i="62"/>
  <c r="H43" i="1"/>
  <c r="H35" i="1"/>
  <c r="H18" i="1"/>
  <c r="BE51" i="62"/>
  <c r="H44" i="1"/>
  <c r="H23" i="1"/>
  <c r="BE44" i="62"/>
  <c r="BE36" i="62"/>
  <c r="BE23" i="62"/>
  <c r="BE53" i="62"/>
  <c r="BE45" i="62"/>
  <c r="BE12" i="62"/>
  <c r="BE56" i="62"/>
  <c r="BE42" i="62"/>
  <c r="BE25" i="62"/>
  <c r="BE13" i="62"/>
  <c r="BE43" i="62"/>
  <c r="BE39" i="62"/>
  <c r="BE26" i="62"/>
  <c r="BE22" i="62"/>
  <c r="BE54" i="62"/>
  <c r="BE47" i="62"/>
  <c r="G7" i="48"/>
  <c r="BE8" i="62"/>
  <c r="J7" i="48"/>
  <c r="BE9" i="62"/>
  <c r="H31" i="1"/>
  <c r="H34" i="1"/>
  <c r="H30" i="1"/>
  <c r="L7" i="48"/>
  <c r="H36" i="1"/>
  <c r="H7" i="48"/>
  <c r="D8" i="48"/>
  <c r="E7" i="48"/>
  <c r="F8" i="47"/>
  <c r="G8" i="47"/>
  <c r="H8" i="47"/>
  <c r="I8" i="47"/>
  <c r="J8" i="47"/>
  <c r="K8" i="47"/>
  <c r="L8" i="47"/>
  <c r="M8" i="47"/>
  <c r="N8" i="47"/>
  <c r="O8" i="47"/>
  <c r="D9" i="47"/>
  <c r="D10" i="47"/>
  <c r="D11" i="47"/>
  <c r="D12" i="47"/>
  <c r="D13" i="47"/>
  <c r="D14" i="47"/>
  <c r="D15" i="47"/>
  <c r="D16" i="47"/>
  <c r="D17" i="47"/>
  <c r="D18" i="47"/>
  <c r="D19" i="47"/>
  <c r="M7" i="48"/>
  <c r="N7" i="48"/>
  <c r="BE40" i="62"/>
  <c r="H63" i="1"/>
  <c r="BE15" i="62"/>
  <c r="BE52" i="62"/>
  <c r="H64" i="1"/>
  <c r="BE32" i="62"/>
  <c r="BE34" i="62"/>
  <c r="L7" i="47"/>
  <c r="L64" i="48"/>
  <c r="O7" i="47"/>
  <c r="O64" i="48"/>
  <c r="J7" i="47"/>
  <c r="J64" i="48"/>
  <c r="I7" i="47"/>
  <c r="I64" i="48"/>
  <c r="F7" i="47"/>
  <c r="BE21" i="62"/>
  <c r="BE27" i="62"/>
  <c r="BE48" i="62"/>
  <c r="BE20" i="62"/>
  <c r="BE46" i="62"/>
  <c r="BE31" i="62"/>
  <c r="BE55" i="62"/>
  <c r="BE17" i="62"/>
  <c r="BE38" i="62"/>
  <c r="BE24" i="62"/>
  <c r="BE33" i="62"/>
  <c r="BE35" i="62"/>
  <c r="BE49" i="62"/>
  <c r="J8" i="45"/>
  <c r="BE57" i="62"/>
  <c r="BE14" i="62"/>
  <c r="BE11" i="62"/>
  <c r="BE10" i="62"/>
  <c r="BE30" i="62"/>
  <c r="BE50" i="62"/>
  <c r="G7" i="47"/>
  <c r="G64" i="48"/>
  <c r="BE29" i="62"/>
  <c r="N7" i="47"/>
  <c r="N64" i="48"/>
  <c r="H7" i="47"/>
  <c r="H64" i="48"/>
  <c r="D8" i="47"/>
  <c r="E7" i="47"/>
  <c r="E64" i="48"/>
  <c r="K7" i="47"/>
  <c r="K64" i="48"/>
  <c r="M7" i="47"/>
  <c r="M64" i="48"/>
  <c r="F7" i="48"/>
  <c r="F64" i="48"/>
  <c r="J11" i="9"/>
  <c r="J10" i="9"/>
  <c r="J9" i="9"/>
  <c r="I11" i="9"/>
  <c r="I10" i="9"/>
  <c r="E47" i="9"/>
  <c r="D8" i="9"/>
  <c r="E2" i="46"/>
  <c r="C10" i="49"/>
  <c r="C9" i="49"/>
  <c r="C20" i="49"/>
  <c r="D9" i="48"/>
  <c r="D10" i="48"/>
  <c r="D11" i="48"/>
  <c r="D12" i="48"/>
  <c r="D13" i="48"/>
  <c r="D14" i="48"/>
  <c r="D15" i="48"/>
  <c r="D16" i="48"/>
  <c r="D17" i="48"/>
  <c r="D18" i="48"/>
  <c r="D21" i="48"/>
  <c r="D22" i="48"/>
  <c r="D23" i="48"/>
  <c r="D24" i="48"/>
  <c r="D25" i="48"/>
  <c r="D26" i="48"/>
  <c r="D27" i="48"/>
  <c r="D20" i="48"/>
  <c r="D29" i="48"/>
  <c r="D30" i="48"/>
  <c r="D31" i="48"/>
  <c r="D32" i="48"/>
  <c r="D33" i="48"/>
  <c r="D34" i="48"/>
  <c r="D35" i="48"/>
  <c r="D36" i="48"/>
  <c r="D37" i="48"/>
  <c r="D38" i="48"/>
  <c r="D39" i="48"/>
  <c r="D40" i="48"/>
  <c r="D41" i="48"/>
  <c r="D42" i="48"/>
  <c r="D43" i="48"/>
  <c r="D44" i="48"/>
  <c r="D45" i="48"/>
  <c r="D46" i="48"/>
  <c r="D47" i="48"/>
  <c r="D48" i="48"/>
  <c r="D49" i="48"/>
  <c r="D50" i="48"/>
  <c r="D51" i="48"/>
  <c r="D52" i="48"/>
  <c r="D53" i="48"/>
  <c r="D54" i="48"/>
  <c r="D55" i="48"/>
  <c r="D56" i="48"/>
  <c r="D57" i="48"/>
  <c r="D58" i="48"/>
  <c r="D20" i="47"/>
  <c r="D21" i="47"/>
  <c r="D22" i="47"/>
  <c r="D23" i="47"/>
  <c r="D24" i="47"/>
  <c r="B7" i="49"/>
  <c r="C7" i="49"/>
  <c r="D27" i="47"/>
  <c r="D29" i="47"/>
  <c r="D30" i="47"/>
  <c r="D31" i="47"/>
  <c r="D32" i="47"/>
  <c r="D33" i="47"/>
  <c r="D34" i="47"/>
  <c r="D35" i="47"/>
  <c r="D36" i="47"/>
  <c r="D37" i="47"/>
  <c r="D38" i="47"/>
  <c r="D39" i="47"/>
  <c r="D40" i="47"/>
  <c r="D41" i="47"/>
  <c r="D42" i="47"/>
  <c r="D43" i="47"/>
  <c r="C4" i="49"/>
  <c r="D44" i="47"/>
  <c r="D45" i="47"/>
  <c r="D46" i="47"/>
  <c r="D47" i="47"/>
  <c r="D48" i="47"/>
  <c r="D51" i="47"/>
  <c r="D52" i="47"/>
  <c r="D56" i="47"/>
  <c r="E3" i="46"/>
  <c r="E4" i="46"/>
  <c r="E5" i="46"/>
  <c r="E6" i="46"/>
  <c r="E7" i="46"/>
  <c r="E8" i="46"/>
  <c r="E9" i="46"/>
  <c r="E10" i="46"/>
  <c r="E11" i="46"/>
  <c r="E12" i="46"/>
  <c r="C13" i="46"/>
  <c r="D13" i="46"/>
  <c r="I5" i="45"/>
  <c r="J5" i="45"/>
  <c r="H6" i="45"/>
  <c r="D19" i="48"/>
  <c r="G13" i="45"/>
  <c r="G18" i="45"/>
  <c r="G19" i="45"/>
  <c r="G26" i="45"/>
  <c r="G32" i="45"/>
  <c r="E36" i="1"/>
  <c r="E35" i="1"/>
  <c r="E31" i="1"/>
  <c r="D34" i="1"/>
  <c r="D39" i="1"/>
  <c r="D30" i="1"/>
  <c r="D38" i="1"/>
  <c r="D37" i="1"/>
  <c r="D32" i="1"/>
  <c r="D33" i="1"/>
  <c r="D31" i="1"/>
  <c r="D36" i="1"/>
  <c r="D35" i="1"/>
  <c r="G41" i="45"/>
  <c r="E17" i="1"/>
  <c r="G6" i="45"/>
  <c r="G35" i="45"/>
  <c r="G37" i="45"/>
  <c r="G39" i="45"/>
  <c r="G17" i="45"/>
  <c r="B22" i="49"/>
  <c r="K8" i="9"/>
  <c r="J8" i="9"/>
  <c r="I9" i="9"/>
  <c r="C16" i="49"/>
  <c r="G34" i="45"/>
  <c r="G33" i="45"/>
  <c r="G10" i="45"/>
  <c r="G40" i="45"/>
  <c r="G36" i="45"/>
  <c r="G28" i="45"/>
  <c r="G23" i="45"/>
  <c r="G9" i="45"/>
  <c r="G5" i="45"/>
  <c r="G38" i="45"/>
  <c r="G30" i="45"/>
  <c r="G21" i="45"/>
  <c r="G11" i="45"/>
  <c r="G7" i="45"/>
  <c r="G29" i="45"/>
  <c r="G14" i="45"/>
  <c r="G31" i="45"/>
  <c r="G27" i="45"/>
  <c r="G22" i="45"/>
  <c r="G12" i="45"/>
  <c r="G8" i="45"/>
  <c r="C21" i="49"/>
  <c r="C22" i="49"/>
  <c r="E50" i="1"/>
  <c r="E48" i="1"/>
  <c r="E41" i="1"/>
  <c r="E27" i="1"/>
  <c r="E23" i="1"/>
  <c r="E52" i="1"/>
  <c r="E56" i="1"/>
  <c r="E26" i="1"/>
  <c r="E24" i="1"/>
  <c r="E55" i="1"/>
  <c r="E13" i="1"/>
  <c r="E22" i="1"/>
  <c r="E25" i="1"/>
  <c r="E53" i="1"/>
  <c r="E21" i="1"/>
  <c r="E40" i="1"/>
  <c r="G42" i="45"/>
  <c r="E57" i="1"/>
  <c r="E42" i="1"/>
  <c r="E47" i="1"/>
  <c r="E54" i="1"/>
  <c r="E18" i="1"/>
  <c r="E14" i="1"/>
  <c r="E45" i="1"/>
  <c r="E16" i="1"/>
  <c r="E46" i="1"/>
  <c r="E51" i="1"/>
  <c r="E49" i="1"/>
  <c r="E12" i="1"/>
  <c r="E44" i="1"/>
  <c r="E43" i="1"/>
  <c r="E15" i="1"/>
  <c r="E11" i="1"/>
  <c r="E10" i="1"/>
  <c r="E9" i="1"/>
  <c r="G24" i="45"/>
  <c r="E28" i="1"/>
  <c r="G15" i="45"/>
  <c r="J28" i="45"/>
  <c r="E19" i="1"/>
  <c r="E13" i="46"/>
  <c r="F55" i="9"/>
  <c r="I8" i="45"/>
  <c r="G20" i="45"/>
  <c r="E27" i="9"/>
  <c r="E19" i="9"/>
  <c r="F19" i="9"/>
  <c r="E59" i="9"/>
  <c r="F59" i="9"/>
  <c r="E43" i="9"/>
  <c r="F43" i="9"/>
  <c r="E15" i="9"/>
  <c r="E35" i="9"/>
  <c r="E23" i="9"/>
  <c r="F23" i="9"/>
  <c r="G43" i="9"/>
  <c r="L6" i="1"/>
  <c r="S6" i="1"/>
  <c r="K6" i="1"/>
  <c r="E58" i="9"/>
  <c r="F58" i="9"/>
  <c r="E50" i="9"/>
  <c r="F50" i="9"/>
  <c r="E46" i="9"/>
  <c r="E42" i="9"/>
  <c r="E38" i="9"/>
  <c r="E34" i="9"/>
  <c r="E30" i="9"/>
  <c r="E26" i="9"/>
  <c r="E22" i="9"/>
  <c r="E18" i="9"/>
  <c r="E14" i="9"/>
  <c r="F31" i="9"/>
  <c r="F47" i="9"/>
  <c r="F9" i="27"/>
  <c r="E57" i="9"/>
  <c r="F57" i="9"/>
  <c r="E53" i="9"/>
  <c r="F53" i="9"/>
  <c r="E49" i="9"/>
  <c r="F49" i="9"/>
  <c r="E45" i="9"/>
  <c r="E41" i="9"/>
  <c r="F37" i="9"/>
  <c r="E33" i="9"/>
  <c r="E29" i="9"/>
  <c r="E25" i="9"/>
  <c r="E13" i="9"/>
  <c r="E51" i="9"/>
  <c r="F51" i="9"/>
  <c r="E9" i="27"/>
  <c r="I9" i="27"/>
  <c r="E56" i="9"/>
  <c r="F56" i="9"/>
  <c r="E52" i="9"/>
  <c r="F52" i="9"/>
  <c r="E48" i="9"/>
  <c r="F48" i="9"/>
  <c r="E40" i="9"/>
  <c r="E36" i="9"/>
  <c r="E32" i="9"/>
  <c r="E28" i="9"/>
  <c r="E24" i="9"/>
  <c r="F24" i="9"/>
  <c r="E20" i="9"/>
  <c r="E16" i="9"/>
  <c r="E9" i="9"/>
  <c r="E12" i="9"/>
  <c r="G58" i="9"/>
  <c r="G56" i="9"/>
  <c r="G52" i="9"/>
  <c r="G50" i="9"/>
  <c r="G48" i="9"/>
  <c r="K11" i="9"/>
  <c r="G59" i="9"/>
  <c r="G57" i="9"/>
  <c r="G55" i="9"/>
  <c r="G53" i="9"/>
  <c r="G51" i="9"/>
  <c r="G49" i="9"/>
  <c r="D7" i="48"/>
  <c r="D28" i="48"/>
  <c r="D7" i="47"/>
  <c r="D1" i="47"/>
  <c r="C5" i="49"/>
  <c r="C11" i="49"/>
  <c r="C24" i="49"/>
  <c r="B11" i="49"/>
  <c r="BE7" i="62"/>
  <c r="J3" i="45"/>
  <c r="BE28" i="62"/>
  <c r="D29" i="1"/>
  <c r="E8" i="1"/>
  <c r="I6" i="1"/>
  <c r="H62" i="1"/>
  <c r="G25" i="45"/>
  <c r="G10" i="9"/>
  <c r="F15" i="9"/>
  <c r="G15" i="9"/>
  <c r="J6" i="45"/>
  <c r="G27" i="9"/>
  <c r="F27" i="9"/>
  <c r="G20" i="9"/>
  <c r="F20" i="9"/>
  <c r="F36" i="9"/>
  <c r="G36" i="9"/>
  <c r="F25" i="9"/>
  <c r="G25" i="9"/>
  <c r="F41" i="9"/>
  <c r="G41" i="9"/>
  <c r="M9" i="27"/>
  <c r="G22" i="9"/>
  <c r="F22" i="9"/>
  <c r="G38" i="9"/>
  <c r="F38" i="9"/>
  <c r="G9" i="27"/>
  <c r="H9" i="27"/>
  <c r="G40" i="9"/>
  <c r="F40" i="9"/>
  <c r="F29" i="9"/>
  <c r="G29" i="9"/>
  <c r="G45" i="9"/>
  <c r="F45" i="9"/>
  <c r="J9" i="27"/>
  <c r="N9" i="27"/>
  <c r="G26" i="9"/>
  <c r="F26" i="9"/>
  <c r="G42" i="9"/>
  <c r="F42" i="9"/>
  <c r="G11" i="9"/>
  <c r="G28" i="9"/>
  <c r="F28" i="9"/>
  <c r="G13" i="9"/>
  <c r="F13" i="9"/>
  <c r="F33" i="9"/>
  <c r="G33" i="9"/>
  <c r="O6" i="1"/>
  <c r="K9" i="27"/>
  <c r="F14" i="9"/>
  <c r="G14" i="9"/>
  <c r="G30" i="9"/>
  <c r="F30" i="9"/>
  <c r="F46" i="9"/>
  <c r="G46" i="9"/>
  <c r="I6" i="45"/>
  <c r="G35" i="9"/>
  <c r="F35" i="9"/>
  <c r="F16" i="9"/>
  <c r="G16" i="9"/>
  <c r="G32" i="9"/>
  <c r="F32" i="9"/>
  <c r="F17" i="9"/>
  <c r="P6" i="1"/>
  <c r="L9" i="27"/>
  <c r="O9" i="27"/>
  <c r="D9" i="27"/>
  <c r="G18" i="9"/>
  <c r="F18" i="9"/>
  <c r="G34" i="9"/>
  <c r="F34" i="9"/>
  <c r="F12" i="9"/>
  <c r="G12" i="9"/>
  <c r="K9" i="9"/>
  <c r="G9" i="9"/>
  <c r="F9" i="9"/>
  <c r="G4" i="45"/>
  <c r="I7" i="45"/>
  <c r="E21" i="9"/>
  <c r="N6" i="1"/>
  <c r="J27" i="49"/>
  <c r="K25" i="49"/>
  <c r="J21" i="49"/>
  <c r="K19" i="49"/>
  <c r="BC57" i="62"/>
  <c r="BC58" i="62"/>
  <c r="BC59" i="62"/>
  <c r="K18" i="49"/>
  <c r="K20" i="49"/>
  <c r="K24" i="49"/>
  <c r="K26" i="49"/>
  <c r="BE6" i="62"/>
  <c r="BE19" i="62"/>
  <c r="E20" i="1"/>
  <c r="J7" i="45"/>
  <c r="K10" i="9"/>
  <c r="F21" i="9"/>
  <c r="G21" i="9"/>
  <c r="E8" i="9"/>
  <c r="BC6" i="62"/>
  <c r="G8" i="9"/>
  <c r="F8" i="9"/>
  <c r="G16" i="45"/>
  <c r="G3" i="45"/>
  <c r="AA6" i="62"/>
  <c r="AA59" i="62"/>
  <c r="Y59" i="62"/>
  <c r="Y6" i="62"/>
  <c r="AB6" i="62"/>
  <c r="AB59" i="62"/>
  <c r="X6" i="62"/>
  <c r="X59" i="62"/>
  <c r="AC6" i="62"/>
  <c r="AC59" i="62"/>
  <c r="AD59" i="62"/>
  <c r="AD6" i="62"/>
  <c r="AE59" i="62"/>
  <c r="AE6" i="62"/>
  <c r="AT6" i="62"/>
  <c r="AY6" i="62"/>
  <c r="AU59" i="62"/>
  <c r="AR59" i="62"/>
  <c r="AQ6" i="62"/>
  <c r="AX6" i="62"/>
  <c r="AW6" i="62"/>
  <c r="AS59" i="62"/>
  <c r="BB59" i="62"/>
  <c r="BA59" i="62"/>
  <c r="AV59" i="62"/>
  <c r="AZ6" i="62"/>
  <c r="AY59" i="62"/>
  <c r="AJ6" i="62"/>
  <c r="AP59" i="62"/>
  <c r="AG6" i="62"/>
  <c r="AF59" i="62"/>
  <c r="AH59" i="62"/>
  <c r="AK59" i="62"/>
  <c r="AM6" i="62"/>
  <c r="AM59" i="62"/>
  <c r="AO59" i="62"/>
  <c r="AL6" i="62"/>
  <c r="AS6" i="62"/>
  <c r="BA6" i="62"/>
  <c r="AP6" i="62"/>
  <c r="AZ59" i="62"/>
  <c r="AJ59" i="62"/>
  <c r="AW59" i="62"/>
  <c r="AH6" i="62"/>
  <c r="AR6" i="62"/>
  <c r="AO6" i="62"/>
  <c r="AT59" i="62"/>
  <c r="BB6" i="62"/>
  <c r="AK6" i="62"/>
  <c r="AI6" i="62"/>
  <c r="AG59" i="62"/>
  <c r="AL59" i="62"/>
  <c r="AV6" i="62"/>
  <c r="AN6" i="62"/>
  <c r="AU6" i="62"/>
  <c r="AF6" i="62"/>
  <c r="BD19" i="62"/>
  <c r="Z6" i="62"/>
  <c r="Q19" i="62"/>
  <c r="Q6" i="62"/>
  <c r="BD6" i="62"/>
  <c r="Z59" i="62"/>
  <c r="D58" i="62"/>
  <c r="Q59" i="62"/>
  <c r="D59" i="62"/>
</calcChain>
</file>

<file path=xl/sharedStrings.xml><?xml version="1.0" encoding="utf-8"?>
<sst xmlns="http://schemas.openxmlformats.org/spreadsheetml/2006/main" count="2872" uniqueCount="587">
  <si>
    <t>Đơn vị tính: ha</t>
  </si>
  <si>
    <t>STT</t>
  </si>
  <si>
    <t>Chỉ tiêu sử dụng đất</t>
  </si>
  <si>
    <t>Mã</t>
  </si>
  <si>
    <t>Tổng diện tích</t>
  </si>
  <si>
    <t>Diện tích phân theo đơn vị hành chính</t>
  </si>
  <si>
    <t>Đất nông nghiệp</t>
  </si>
  <si>
    <t>NNP</t>
  </si>
  <si>
    <t>Đất trồng lúa</t>
  </si>
  <si>
    <t>LUA</t>
  </si>
  <si>
    <t>Trong đó: Đất chuyên trồng lúa nước</t>
  </si>
  <si>
    <t>LUC</t>
  </si>
  <si>
    <t>Đất trồng cây hàng năm khác</t>
  </si>
  <si>
    <t>HNK</t>
  </si>
  <si>
    <t>Đất trồng cây lâu năm</t>
  </si>
  <si>
    <t>CLN</t>
  </si>
  <si>
    <t>Đất rừng phòng hộ</t>
  </si>
  <si>
    <t>RPH</t>
  </si>
  <si>
    <t>Đất rừng đặc dụng</t>
  </si>
  <si>
    <t>RDD</t>
  </si>
  <si>
    <t>Đất rừng sản xuất</t>
  </si>
  <si>
    <t>RSX</t>
  </si>
  <si>
    <t>Đất nuôi trồng thuỷ sản</t>
  </si>
  <si>
    <t>NTS</t>
  </si>
  <si>
    <t>Đất làm muối</t>
  </si>
  <si>
    <t>LMU</t>
  </si>
  <si>
    <t>Đất nông nghiệp khác</t>
  </si>
  <si>
    <t>NKH</t>
  </si>
  <si>
    <t>Đất phi nông nghiệp</t>
  </si>
  <si>
    <t>PNN</t>
  </si>
  <si>
    <t>Đất quốc phòng</t>
  </si>
  <si>
    <t>CQP</t>
  </si>
  <si>
    <t>Đất an ninh</t>
  </si>
  <si>
    <t>CAN</t>
  </si>
  <si>
    <t>Đất khu công nghiệp</t>
  </si>
  <si>
    <t>SKK</t>
  </si>
  <si>
    <t>Đất cụm công nghiệp</t>
  </si>
  <si>
    <t>SKN</t>
  </si>
  <si>
    <t>Đất thương mại, dịch vụ</t>
  </si>
  <si>
    <t>TMD</t>
  </si>
  <si>
    <t>Đất cơ sở sản xuất phi nông nghiệp</t>
  </si>
  <si>
    <t>SKC</t>
  </si>
  <si>
    <t>Đất sử dụng cho hoạt động khoáng sản</t>
  </si>
  <si>
    <t>SKS</t>
  </si>
  <si>
    <t>Đất phát triển hạ tầng cấp quốc gia, cấp tỉnh, cấp huyện, cấp xã</t>
  </si>
  <si>
    <t>DHT</t>
  </si>
  <si>
    <t>Đất có di tích lịch sử - văn hóa</t>
  </si>
  <si>
    <t>DDT</t>
  </si>
  <si>
    <t>Đất danh lam thắng cảnh</t>
  </si>
  <si>
    <t>DDL</t>
  </si>
  <si>
    <t>Đất bãi thải, xử lý chất thải</t>
  </si>
  <si>
    <t>DRA</t>
  </si>
  <si>
    <t>Đất ở tại nông thôn</t>
  </si>
  <si>
    <t>ONT</t>
  </si>
  <si>
    <t>Đất ở tại đô thị</t>
  </si>
  <si>
    <t>ODT</t>
  </si>
  <si>
    <t>Đất xây dựng trụ sở cơ quan</t>
  </si>
  <si>
    <t>TSC</t>
  </si>
  <si>
    <t>Đất xây dựng trụ sở của tổ chức sự nghiệp</t>
  </si>
  <si>
    <t>DTS</t>
  </si>
  <si>
    <t>Đất xây dựng cơ sở ngoại giao</t>
  </si>
  <si>
    <t>DNG</t>
  </si>
  <si>
    <t>Đất cơ sở tôn giáo</t>
  </si>
  <si>
    <t>TON</t>
  </si>
  <si>
    <t>NTD</t>
  </si>
  <si>
    <t>Đất sản xuất vật liệu xây dựng, làm đồ gốm</t>
  </si>
  <si>
    <t>SKX</t>
  </si>
  <si>
    <t>Đất sinh hoạt cộng đồng</t>
  </si>
  <si>
    <t>DSH</t>
  </si>
  <si>
    <t>Đất khu vui chơi, giải trí công cộng</t>
  </si>
  <si>
    <t>DKV</t>
  </si>
  <si>
    <t>Đất cơ sở tín ngưỡng</t>
  </si>
  <si>
    <t>TIN</t>
  </si>
  <si>
    <t>Đất sông, ngòi, kênh, rạch, suối</t>
  </si>
  <si>
    <t>SON</t>
  </si>
  <si>
    <t>Đất có mặt nước chuyên dùng</t>
  </si>
  <si>
    <t>MNC</t>
  </si>
  <si>
    <t>Đất phi nông nghiệp khác</t>
  </si>
  <si>
    <t>PNK</t>
  </si>
  <si>
    <t>Đất chưa sử dụng</t>
  </si>
  <si>
    <t>CSD</t>
  </si>
  <si>
    <t>Đất nông nghiệp chuyển sang phi nông nghiệp</t>
  </si>
  <si>
    <t>NNP/PNN</t>
  </si>
  <si>
    <t>LUA/PNN</t>
  </si>
  <si>
    <t>LUC/PNN</t>
  </si>
  <si>
    <t>HNK/PNN</t>
  </si>
  <si>
    <t>CLN/PNN</t>
  </si>
  <si>
    <t>RPH/PNN</t>
  </si>
  <si>
    <t>RDD/PNN</t>
  </si>
  <si>
    <t>RSX/PNN</t>
  </si>
  <si>
    <t>NTS/PNN</t>
  </si>
  <si>
    <t>LMU/PNN</t>
  </si>
  <si>
    <t>NKH/PNN</t>
  </si>
  <si>
    <t>Chuyển đổi cơ cấu sử dụng đất trong nội bộ đất nông nghiệp</t>
  </si>
  <si>
    <t>Trong đó:</t>
  </si>
  <si>
    <t>Đất trồng lúa chuyển sang đất trồng cây lâu năm</t>
  </si>
  <si>
    <t>LUA/CLN</t>
  </si>
  <si>
    <t>Đất trồng lúa chuyển sang đất nuôi trồng thuỷ sản</t>
  </si>
  <si>
    <t>LUA/NTS</t>
  </si>
  <si>
    <t>Đất trồng lúa chuyển sang đất làm muối</t>
  </si>
  <si>
    <t>LUA/LMU</t>
  </si>
  <si>
    <t>Đất trồng cây hàng năm khác chuyển sang đất nuôi trồng thuỷ sản</t>
  </si>
  <si>
    <t>HNK/NTS</t>
  </si>
  <si>
    <t>HNK/LMU</t>
  </si>
  <si>
    <t>Đất rừng phòng hộ chuyển sang đất nông nghiệp không phải là rừng</t>
  </si>
  <si>
    <t>RPH/NKR(a)</t>
  </si>
  <si>
    <t>PKO/OCT</t>
  </si>
  <si>
    <t>Đất phi nông nghiệp không phải là đất ở chuyển sang đất ở</t>
  </si>
  <si>
    <t>Cộng giảm</t>
  </si>
  <si>
    <t>TỔNG DIỆN TÍCH ĐẤT TỰ NHIÊN</t>
  </si>
  <si>
    <t>Cộng tăng</t>
  </si>
  <si>
    <t>Thị trấn 
Sa Thầy</t>
  </si>
  <si>
    <t>Sa Sơn</t>
  </si>
  <si>
    <t>Sa Nghĩa</t>
  </si>
  <si>
    <t>Sa Bình</t>
  </si>
  <si>
    <t>Ya Ly</t>
  </si>
  <si>
    <t>Ya Tăng</t>
  </si>
  <si>
    <t>Sa Nhơn</t>
  </si>
  <si>
    <t>Ya Xiêr</t>
  </si>
  <si>
    <t>Rờ Kơi</t>
  </si>
  <si>
    <t>Mô Rai</t>
  </si>
  <si>
    <t>Hơ Moong</t>
  </si>
  <si>
    <t>Diện tích (ha)</t>
  </si>
  <si>
    <t>Tăng (+), giảm (-) ha</t>
  </si>
  <si>
    <t>Tỷ lệ</t>
  </si>
  <si>
    <t>(6)=(5)-(4)</t>
  </si>
  <si>
    <t>(7)=(5)/(4)*100%</t>
  </si>
  <si>
    <t>So Sánh</t>
  </si>
  <si>
    <t>Đất đô thị</t>
  </si>
  <si>
    <t xml:space="preserve">Tổng </t>
  </si>
  <si>
    <t>(4)=(5)+..</t>
  </si>
  <si>
    <t>Tổng diện tích tự nhiên</t>
  </si>
  <si>
    <t>Hạng mục</t>
  </si>
  <si>
    <t>Tăng thêm</t>
  </si>
  <si>
    <t>Sử dụng vào loại đất</t>
  </si>
  <si>
    <t>(4)=(5)+(6)+...</t>
  </si>
  <si>
    <t>Đất trồng cây hàng năm khác chuyển sang đất làm muối</t>
  </si>
  <si>
    <t>Biểu 02/CH</t>
  </si>
  <si>
    <t>2.2</t>
  </si>
  <si>
    <t>1.1</t>
  </si>
  <si>
    <t>1.2</t>
  </si>
  <si>
    <t>1.3</t>
  </si>
  <si>
    <t>1.4</t>
  </si>
  <si>
    <t>1.5</t>
  </si>
  <si>
    <t>1.6</t>
  </si>
  <si>
    <t>1.7</t>
  </si>
  <si>
    <t>1.8</t>
  </si>
  <si>
    <t>1.9</t>
  </si>
  <si>
    <t>2.1</t>
  </si>
  <si>
    <t>2.3</t>
  </si>
  <si>
    <t>2.4</t>
  </si>
  <si>
    <t>2.5</t>
  </si>
  <si>
    <t>2.6</t>
  </si>
  <si>
    <t>2.7</t>
  </si>
  <si>
    <t>2.8</t>
  </si>
  <si>
    <t>2.9</t>
  </si>
  <si>
    <t>2.10</t>
  </si>
  <si>
    <t>2.11</t>
  </si>
  <si>
    <t>2.12</t>
  </si>
  <si>
    <t>2.13</t>
  </si>
  <si>
    <t>2.14</t>
  </si>
  <si>
    <t>2.15</t>
  </si>
  <si>
    <t>2.16</t>
  </si>
  <si>
    <t>2.17</t>
  </si>
  <si>
    <t>2.18</t>
  </si>
  <si>
    <t>2.19</t>
  </si>
  <si>
    <t>2.20</t>
  </si>
  <si>
    <t>2.21</t>
  </si>
  <si>
    <t>Thị trấn Sa Thầy</t>
  </si>
  <si>
    <t>Xã Mô Rai</t>
  </si>
  <si>
    <t>Xã Rờ Kơi</t>
  </si>
  <si>
    <t>Xã Sa Nghĩa</t>
  </si>
  <si>
    <t>Xã Sa Bình</t>
  </si>
  <si>
    <t>Xã Ya Xiêr</t>
  </si>
  <si>
    <t>Xã Ya Tăng</t>
  </si>
  <si>
    <t>Đất trồng lúa chuyển sang đất trồng rừng</t>
  </si>
  <si>
    <t>LUA/LNP</t>
  </si>
  <si>
    <t>Đất rừng đặc dụng chuyển sang đất nông nghiệp không phải là rừng</t>
  </si>
  <si>
    <t>RDD/NKR(a)</t>
  </si>
  <si>
    <t>Đất sản xuất vật liệu xây dựng</t>
  </si>
  <si>
    <t>Đất phát triển hạ tầng cấp huyện, cấp xã</t>
  </si>
  <si>
    <t>Đất sông, suối</t>
  </si>
  <si>
    <t>Diện tích hiện trạng</t>
  </si>
  <si>
    <t>Biểu 10/CH</t>
  </si>
  <si>
    <t>Công trình, dự án mục đích quốc phòng, an ninh</t>
  </si>
  <si>
    <t>1.2.1</t>
  </si>
  <si>
    <t>1.2.2</t>
  </si>
  <si>
    <t>Công trình, dự án do Thủ tướng Chính phủ chấp thuận, quyết định đầu tư mà phải thu hồi đất</t>
  </si>
  <si>
    <t>Công trình, dự án do Hội đồng nhân dân cấp tỉnh chấp thuận mà phải thu hồi đất</t>
  </si>
  <si>
    <t>Xã Ya Ly</t>
  </si>
  <si>
    <t>Xã Hơ Moong</t>
  </si>
  <si>
    <t>Xã Sa Sơn</t>
  </si>
  <si>
    <t>DGD</t>
  </si>
  <si>
    <t>DNL</t>
  </si>
  <si>
    <t>DTL</t>
  </si>
  <si>
    <t>DTT</t>
  </si>
  <si>
    <t>DGT</t>
  </si>
  <si>
    <t>Xã Sa Nhơn</t>
  </si>
  <si>
    <t xml:space="preserve">Xã Sa Nghĩa </t>
  </si>
  <si>
    <t>(4)=(5)+…</t>
  </si>
  <si>
    <t>Biểu 01/CH</t>
  </si>
  <si>
    <t>Đất rừng sản xuất chuyển sang đất nông nghiệp không phải là rừng</t>
  </si>
  <si>
    <t xml:space="preserve"> </t>
  </si>
  <si>
    <t>Công trình,dự án quan trọng quốc gia do Quốc hội quyết định chủ trương đầu tư mà phải thu hồi đất</t>
  </si>
  <si>
    <t>Xây dựng chợ trung tâm xã Mô Rai</t>
  </si>
  <si>
    <t>Đường giao thông từ xã Hơ Moong đi khu di tích lịch sử điểm cao 1049 và 1015</t>
  </si>
  <si>
    <t>DCH</t>
  </si>
  <si>
    <t>Mở rộng đường Trần Hưng Đạo (đoạn từ đường Nguyễn Văn Cừ đến đường Đào Duy Từ)</t>
  </si>
  <si>
    <t>Khai thác quỹ đất Làng Tum, Xã Ya Ly</t>
  </si>
  <si>
    <t>Đầu tư kết cấu hạ tầng điểm dân cư thôn 2, thị trấn Sa Thầy</t>
  </si>
  <si>
    <t>Dự án đầu giá quyền sử dụng đất mở rộng điểm dân cư dọc tuyến đường từ Thị trấn Sa Thầy đi xã Ya Xiêr (Đoạn KM1+850 đến Km2+850)</t>
  </si>
  <si>
    <t>Dự án đầu giá quyền sử dụng đất mở rộng điểm dân cư dọc tuyến đường từ Thị trấn Sa Thầy đi xã Sa Sơn ( Đoạn Km2+200 đến Km2+420)</t>
  </si>
  <si>
    <t>Đầu tư kết cấu hạ tầng mở rộng điểm dân cư dọc tuyến đường Trần Quốc Toản ( Đoạn từ đường Cù Chính Lan đến đường U Rê)</t>
  </si>
  <si>
    <t>Dự án đường giao thông nội bộ và hệ thống thoát nước (tuyến N4) thuộc cụm công nghiệp huyện Sa Thầy</t>
  </si>
  <si>
    <t>Đường giao thông kết nối phục vụ phát triển KTXH và đảm bảo QPAN từ xã Rờ Kơi huyện Sa Thầy đi xã Sa Loong huyện Ngọc Hồi</t>
  </si>
  <si>
    <t>Thủy lợi làng Lung</t>
  </si>
  <si>
    <t>Xây dựng một số tuyến đường Nội thị trấn Sa Thầy</t>
  </si>
  <si>
    <t xml:space="preserve">Dự án Điểm dân cư thôn 1 Thị trấn Sa Thầy </t>
  </si>
  <si>
    <t>Dự án bố trí ổn định dân di cư tự do và dân cư biên giới huyện Sa Thầy</t>
  </si>
  <si>
    <t xml:space="preserve">Đầu tư cơ sở hạ tầng phục vụ giãn dân tại làng Xộp </t>
  </si>
  <si>
    <t>Đường giao thông đi khu sản xuất Ya Lân - Ya Roong</t>
  </si>
  <si>
    <t>-</t>
  </si>
  <si>
    <t>Đất xây dựng cơ sở văn hóa</t>
  </si>
  <si>
    <t>Đất xây dựng cơ sở y tế</t>
  </si>
  <si>
    <t>Đất xây dựng cơ sở giáo dục đào tạo</t>
  </si>
  <si>
    <t>Đất xây dựng cơ sở thể dục thể thao</t>
  </si>
  <si>
    <t>Đất xây dựng cơ sở khoa học công nghệ</t>
  </si>
  <si>
    <t>Đất xây dựng cơ sở dịch vụ xã hội</t>
  </si>
  <si>
    <t>Đất giao thông</t>
  </si>
  <si>
    <t xml:space="preserve">Đất thủy lợi </t>
  </si>
  <si>
    <t>Đất công trình bưu chính viễn thông</t>
  </si>
  <si>
    <t>Đất chợ</t>
  </si>
  <si>
    <t>DVH</t>
  </si>
  <si>
    <t>DYT</t>
  </si>
  <si>
    <t>DKH</t>
  </si>
  <si>
    <t>DXH</t>
  </si>
  <si>
    <t>DBV</t>
  </si>
  <si>
    <t>Khai thác quỹ đất công trên địa bàn thị trấn Sa Thầy</t>
  </si>
  <si>
    <t>xã Mô Rai</t>
  </si>
  <si>
    <t>xã Hơ Moong</t>
  </si>
  <si>
    <t>xã Ya Xiêr</t>
  </si>
  <si>
    <t>Mở rộng đường Trần Hưng Đạo (đoạn từ hạt Kiểm Lâm đến đường Cù Chính Lan)</t>
  </si>
  <si>
    <t>Xây dựng công viên cây xanh trước hội trường 19/5</t>
  </si>
  <si>
    <t>Mở rộng đường Trần Hưng Đạo (đoạn từ Bế Văn Đàn đến đường Lê Duẩn)</t>
  </si>
  <si>
    <t>Trung tâm văn hóa thể thao huyện Sa Thầy</t>
  </si>
  <si>
    <t>Mở rộng chợ Trung tâm huyện Sa Thầy</t>
  </si>
  <si>
    <t>xã Sa Nghĩa</t>
  </si>
  <si>
    <t>Cơ cấu (%)</t>
  </si>
  <si>
    <t>Tổng</t>
  </si>
  <si>
    <t>Tăng (+), giảm (-)</t>
  </si>
  <si>
    <t>Đơn vị hành chính</t>
  </si>
  <si>
    <t>TT</t>
  </si>
  <si>
    <t>Loại đất</t>
  </si>
  <si>
    <t>DIỆN TÍCH TĂNG THÊM TRONG NĂM 2020 CỦA HUYỆN SA THẦY - TỈNH KON TUM</t>
  </si>
  <si>
    <t>DIỆN TÍCH GIẢM ĐI TRONG NĂM 2020 CỦA HUYỆN SA THẦY - TỈNH KON TUM</t>
  </si>
  <si>
    <t>TỔNG</t>
  </si>
  <si>
    <t>SA THẦY</t>
  </si>
  <si>
    <t xml:space="preserve"> Thành tiền (triệu đồng) </t>
  </si>
  <si>
    <t>Thu từ cho thuê đất</t>
  </si>
  <si>
    <t>Đất ở đô thị</t>
  </si>
  <si>
    <t>Đất ở nông thôn</t>
  </si>
  <si>
    <t>Thu từ giao đất</t>
  </si>
  <si>
    <t>Đơn giá</t>
  </si>
  <si>
    <t>( triệu/ha)</t>
  </si>
  <si>
    <t>Ghi chú</t>
  </si>
  <si>
    <t>Đất lúa 2 vụ</t>
  </si>
  <si>
    <t>Thị trấn</t>
  </si>
  <si>
    <t>Các xã</t>
  </si>
  <si>
    <t>Đất trồng lúa còn lại</t>
  </si>
  <si>
    <t>Đất nuôi trồng thủy sản</t>
  </si>
  <si>
    <t>Trung bình cộng của các vị trí 2 của tất cả các loại đường, phố, khu vực trong các xã, thị trấn tại bảng giá đất do UBND tỉnh quy định</t>
  </si>
  <si>
    <t>Đất thương mại dịch vụ, đất sản xuất kinh doanh phi nông nghiệp</t>
  </si>
  <si>
    <t>80% đất ở</t>
  </si>
  <si>
    <t>Đất sử dụng cho hoạt động thăm dò, khai thác khoáng sản, khai thác nguyên liệu để sản xuất vật liệu xây dựng, làm đồ gốm</t>
  </si>
  <si>
    <t>Toàn bộ các xã</t>
  </si>
  <si>
    <t>HIỆN TRẠNG NĂM 2020</t>
  </si>
  <si>
    <t>Đường giao thông từ TT huyện Sa Thầy đi nhà máy thủy điện Ia Ly</t>
  </si>
  <si>
    <t>Trong đó: đất có rừng sản xuất là rừng tự nhiên</t>
  </si>
  <si>
    <t>Đất xây dựng kho dự trữ quốc gia</t>
  </si>
  <si>
    <t>DKG</t>
  </si>
  <si>
    <t>Đất làm nghĩa trang, nhà tang lễ, nhà hỏa táng</t>
  </si>
  <si>
    <t>RSN</t>
  </si>
  <si>
    <t>Đất công trình năng lượng</t>
  </si>
  <si>
    <t>Diện tích cấp tỉnh phân bổ</t>
  </si>
  <si>
    <t>Diện tích cấp huyện xác định, xác định bổ sung</t>
  </si>
  <si>
    <t>I</t>
  </si>
  <si>
    <t>II</t>
  </si>
  <si>
    <t>Khu chức năng</t>
  </si>
  <si>
    <t>Đất khu công nghệ cao</t>
  </si>
  <si>
    <t>Đất khu kinh tế</t>
  </si>
  <si>
    <t>Khu sản xuất nông nghiệp ( khu vực chuyên trồng lúa nước, khu vực chuyên trồng cây công nghiệp lâu năm)</t>
  </si>
  <si>
    <t>Khu lâm nghiệp ( Khu vực rừng phòng hộ, rừng đặc dụng, rừng sản xuất)</t>
  </si>
  <si>
    <t>Khu du lịch</t>
  </si>
  <si>
    <t>Khu bảo tổn thiên nhiên và đa dạng sinh học</t>
  </si>
  <si>
    <t>Khu phát triển công nghiệp ( khu công nghiệp, cụm công nghiệp)</t>
  </si>
  <si>
    <t>Khu thương mại - dịch vụ</t>
  </si>
  <si>
    <t>Khu dân cư nông thôn</t>
  </si>
  <si>
    <t>Khu ở, làng nghề, sản xuất phi nông nghiệp nông thôn</t>
  </si>
  <si>
    <t>Khu đô thị ( trong đó có khu đô thị mới)</t>
  </si>
  <si>
    <t>Khu đô thị - thương mại - dịch vụ</t>
  </si>
  <si>
    <t>Ghi chú: Khu chức năng không tổng hợp khi tính tổng diện tích tự nhiên</t>
  </si>
  <si>
    <t>RSN/PNN</t>
  </si>
  <si>
    <t>RSX/NKR(a)</t>
  </si>
  <si>
    <t>RSN/NKR a</t>
  </si>
  <si>
    <t>(a) gồm đất sản xuất nông nghiệp, đất nuôi trồng thủy sản, đất làm muối và đất nông nghiệp khác. PKO là đất phi nông nghiệp không phải là đất ở</t>
  </si>
  <si>
    <t>Đất thủy lợi</t>
  </si>
  <si>
    <t>Đất xây dựng cơ sở giáo dục và đào tạo</t>
  </si>
  <si>
    <t>Đất công trình bưu chính, viễn thông</t>
  </si>
  <si>
    <t>Đất tín ngưỡng</t>
  </si>
  <si>
    <t>Công trình, dự án chuyển mục đích sử dụng đất</t>
  </si>
  <si>
    <t>2.1.1</t>
  </si>
  <si>
    <t>2.1.2</t>
  </si>
  <si>
    <t>Công trình, dự án để phát triển kinh tế - xã hội vì lợi ích quốc gia, công cộng</t>
  </si>
  <si>
    <t>.</t>
  </si>
  <si>
    <t>QUY HOẠCH 2021-2030</t>
  </si>
  <si>
    <t>Chu chuyển đất đai thời kỳ 2021-2030</t>
  </si>
  <si>
    <t>,</t>
  </si>
  <si>
    <t>Tổng cộng</t>
  </si>
  <si>
    <t>Các khu vực sử dụng đất khác</t>
  </si>
  <si>
    <t>Nhu cầu sử dụng đất của hộ gia đình, cá nhân</t>
  </si>
  <si>
    <t>Đất Nông nghiệp khác</t>
  </si>
  <si>
    <t xml:space="preserve">Kế hoạch mở rộng đất nuôi trồng thủy sản tại Xã Ya Ly </t>
  </si>
  <si>
    <t>Kế hoạch mở rộng đất nuôi trồng thủy sản tại xã Ya Tăng</t>
  </si>
  <si>
    <t xml:space="preserve">Kế hoạch mở rộng đất nuôi trồng thủy sản tại xã Ya Xiêr </t>
  </si>
  <si>
    <t xml:space="preserve">Kế hoạch mở rộng đất nuôi trồng thủy sản tại xã Sa Sơn </t>
  </si>
  <si>
    <t xml:space="preserve">Kế hoạch mở rộng đất nuôi trồng thủy sản tại xã Hơ Moong </t>
  </si>
  <si>
    <t xml:space="preserve">Kế hoạch mở rộng đất nuôi trồng thủy sản tại xã Rơ Kơi </t>
  </si>
  <si>
    <t>Kế hoạch mở rộng đất nuôi trồng thủy sản tại  Thị trấn Sa Thầy</t>
  </si>
  <si>
    <t xml:space="preserve">Kế hoạch mở rộng đất trồng cây lâu năm tại Xã Ya Ly </t>
  </si>
  <si>
    <t xml:space="preserve">Kế hoạch mở rộng đất trồng cây lâu năm tại xã Ya Tăng </t>
  </si>
  <si>
    <t xml:space="preserve">Kế hoạch mở rộng đất trồng cây lâu năm tại xã Ya Xiêr </t>
  </si>
  <si>
    <t xml:space="preserve">Kế hoạch mở rộng đất trồng cây lâu năm tại xã Sa Bình </t>
  </si>
  <si>
    <t xml:space="preserve">Kế hoạch mở rộng đất trồng cây lâu năm tại xã Sa Nghĩa </t>
  </si>
  <si>
    <t xml:space="preserve">Kế hoạch mở rộng đất trồng cây lâu năm tại xã Sa Sơn </t>
  </si>
  <si>
    <t xml:space="preserve">Kế hoạch mở rộng đất trồng cây lâu năm tại xã Mô Rai </t>
  </si>
  <si>
    <t xml:space="preserve">Kế hoạch mở rộng đất trồng cây lâu năm tại xã Hơ Moong </t>
  </si>
  <si>
    <t xml:space="preserve">Kế hoạch mở rộng đất trồng cây lâu năm tại xã Sa Nhơn </t>
  </si>
  <si>
    <t xml:space="preserve">Kế hoạch mở rộng đất trồng cây lâu năm tại xã Rơ Kơi </t>
  </si>
  <si>
    <t xml:space="preserve">Kế hoạch mở rộng đất trồng cây lâu năm tại  Thị trấn Sa Thầy </t>
  </si>
  <si>
    <t xml:space="preserve">Nhu Cầu sử dụng đất Nông nghiệp </t>
  </si>
  <si>
    <t>Chuyển mục đích đất ở nhỏ lẻ trong khu dân cư phù hợp với quy hoạch</t>
  </si>
  <si>
    <t>Cấp giấy chứng nhận QSDĐ đất ở nông thộ tại thôn Đăk Wơk</t>
  </si>
  <si>
    <t>Cấp giấy chứng nhận QSDĐ đất ở nông thộ tại thôn Đăk Yo</t>
  </si>
  <si>
    <t>Chuyển mục đích sử dụng nhỏ lẻ trong khu dân cư các thửa đất phù hợp với quy hoạch đất ở</t>
  </si>
  <si>
    <t xml:space="preserve">Đất xây dựng cơ sở kinh doanh phi nông nghiệp </t>
  </si>
  <si>
    <t>Điểm mỏ số 2 (Sét làm VLXD thông thường)</t>
  </si>
  <si>
    <t>Quyết định số 950/QĐ-UBND ngày 11/9/2018 của UBND tỉnh phê duyệt Kế hoạch đấu giá quyền khai thác khoáng sản trên địa bàn tỉnh Kon Tum (đợt 2) năm 2018</t>
  </si>
  <si>
    <t>Điểm mỏ số 1 (Sét làm VLXD thông thường)</t>
  </si>
  <si>
    <t xml:space="preserve">Dự án tái định cư đường từ Trung tâm huyện đi thủy điện Ia Ly </t>
  </si>
  <si>
    <t>Đấu giá QSDĐ nhỏ lẻ trên địa bàn thị trấn</t>
  </si>
  <si>
    <t>Dự án đăng ký mới thực hiện trong năm 2022</t>
  </si>
  <si>
    <t>Văn bản số 380/SKHĐT-DN ngày 8/02/2021 của Sở Kế hoạch và Đầu tư tỉnh Kon Tum</t>
  </si>
  <si>
    <t>Nghĩa trang Ya Ho</t>
  </si>
  <si>
    <t>Xây mới hội trường thôn Thanh Xuân</t>
  </si>
  <si>
    <t>Nâng cấp đường nội thôn 1 đoạn từ nhà ông Hà Văn Dưa đến hết khu dân cư</t>
  </si>
  <si>
    <t>Đào mới giếng nước sinh hoạt làng Lung, Làng Rắc, Làng O, Làng Trang</t>
  </si>
  <si>
    <t>Đường sản xuất làng Trang từ rẫy nhà bà Y Mửi đến rừng keo</t>
  </si>
  <si>
    <t>Đường Sản xuất làng O từ rẫy ông A Thanh đến rẫy ông A Hrả</t>
  </si>
  <si>
    <t>Kế hoạch đầu tư năm 2021 Vốn chương trình mục tiêu (Ngân sách trung ương)</t>
  </si>
  <si>
    <t>Đường đi sản xuất nối tiếp đoạn từ nhà ông A Mương đến nhà ông A Ly (làng Lung)</t>
  </si>
  <si>
    <t>Quyết định số 780/QĐ-UBND ngày 15/8/2017 của UBND tỉnh</t>
  </si>
  <si>
    <t>Dự án đầu tư cơ sở hạ tầng cụm công nghiệp</t>
  </si>
  <si>
    <t>Tờ trình 837/TTr-TĐIAL ngày 23/9/2020 của Công ty Thủy điện IaLy</t>
  </si>
  <si>
    <t>Thuê đất quản lý, bảo vệ thủy điện Plei KRông</t>
  </si>
  <si>
    <t>Quyết định số 969/QĐ-UBND ngày 05/10/2020 của Ủy ban nhân dân tỉnh Kon Tum về việc giao thực hiện Quyết định chủ trương dự án</t>
  </si>
  <si>
    <t>Đường giao thông tiếp nối với Tỉnh lộ 674 đến đường tuần tra biên giới xã Mô Rai, huyện Sa Thầy</t>
  </si>
  <si>
    <t>Nghị Quyết 01/NQ-HĐND ngày 14/01/2021 của HĐND huyện Sa Thầy</t>
  </si>
  <si>
    <t xml:space="preserve">Quyết định số 856/QĐ-UBND ngày 14/8/2019 của UBND tỉnh phê duyệt chủ trương đầu tư </t>
  </si>
  <si>
    <t>Nhà máy sản xuất phân bón vi sinh hữu cơ</t>
  </si>
  <si>
    <t>Quyết định chủ trương đầu tư số 76/QĐ-UBND ngày 20/01/2020 của UBND tỉnh</t>
  </si>
  <si>
    <t>Dự án chăn nuôi bò sữa và chế biến sữa công nghệ cao tại Tỉnh Kon Tum của Công ty cổ phần bò sữa nông nghiệp công nghệ cao Kon Tum Hạng mục: Nhà máy chế biến sữa</t>
  </si>
  <si>
    <t>Quyết định số 105/QĐ-UBND ngày 16/01/2019 của UBND huyện Sa Thầy</t>
  </si>
  <si>
    <t>Vườn hoa Cây xanh trước Nghĩa trang liệt sỹ huyện Sa Thầy</t>
  </si>
  <si>
    <t>Quyết định số 1030/QĐ-UBND ngày 29/10/2015 của UBND huyện Sa Thầy</t>
  </si>
  <si>
    <t>Quyết định số 2042/QĐ-UBND ngày 30/10/2017 của UBND huyện Sa Thầy</t>
  </si>
  <si>
    <t>Quyết định số 1078/QĐ-UBND ngày 7/10/2019 của UBND tỉnh Kon Tum phê duyệt chủ trương đầu tư danh mục dự án nhóm C quy mô nhỏ thuộc Chương trình mục tiêu quốc gia xây dựng nông thôn mới trên địa bàn huyện Sa Thầy năm 2020</t>
  </si>
  <si>
    <t>Đường giao thông từ thôn Ia Lân đi thôn Ia Mang (đoạn từ nhà ông Nguyễn Quốc Chưởng đến nhà ông Trần Thanh Sơn)</t>
  </si>
  <si>
    <t>Đường đi khu sản xuất thôn Kram</t>
  </si>
  <si>
    <t>Hệ thống thoát nước đường từ cầu treo thôn Ya Xiêng đi khu sản xuất</t>
  </si>
  <si>
    <t xml:space="preserve">Đường đi khu sản xuất 636 (Đoạn từ rẫy nhà A Phúc đến trạm quản lý bảo vệ rừng) </t>
  </si>
  <si>
    <t>Đường đi khu sản xuất làng O (Đoạn Km2+800-Km3+760)</t>
  </si>
  <si>
    <t xml:space="preserve">Đường đi khu sản xuất thôn 2, xã Ya Xiêr (Đoạn Km0+550-Km1+00) </t>
  </si>
  <si>
    <t>Quyết định số 973/QĐ-UBND ngày 11/9/2019 của UBND tỉnh Kon Tum</t>
  </si>
  <si>
    <t xml:space="preserve">Đường đi khu sản xuất thôn 3, xã Ya Xiêr </t>
  </si>
  <si>
    <t>Quyết định số 1093/QĐ-UBND ngày 17/10/2018 của UBND tỉnh Kon Tum</t>
  </si>
  <si>
    <t>Đường đi khu sản xuất làng O (Đoạn Km2+200-Km2+800)</t>
  </si>
  <si>
    <t>Quyết định số 2242/QĐ-UBND ngày 25/10/2019 của Ủy ban nhân dân huyện Sa Thầy về việc phê duyệt BCKTKT xây dựng công trình</t>
  </si>
  <si>
    <t>Trường THCS Phan Đình Phùng xã Hơ Moong, Hạng mục: Nhà học 04 phòng và các hạng mục phụ trợ</t>
  </si>
  <si>
    <t xml:space="preserve">Nghị quyết 88/NQ-HĐND ngày 09/12/2016 của HĐND tỉnh </t>
  </si>
  <si>
    <t>Chợ đầu mối</t>
  </si>
  <si>
    <t>Quyết định số 1350/QĐ-UBND ngày 31/12/2015 của UBND huyện Sa Thầy</t>
  </si>
  <si>
    <t>Quyết định số 1335/QĐ-UBND ngày 31/12/2015 của UBND huyện Sa Thầy</t>
  </si>
  <si>
    <t>Mở rộng đường Trần Hưng Đạo. Đoạn từ đường Trường Chinh đến đường bê tông ngõ 406 (trường THCS Nguyễn Tất Thành)</t>
  </si>
  <si>
    <t>Quyết định số 908/QĐ-UBND ngày 28/10/2015 của UBND tỉnh về phê duyệt chủ trương đầu tư</t>
  </si>
  <si>
    <t>Quyết định số 1086/QĐ-UBND ngày 30/10/2015 của UBND tỉnh về phe duyệt phương án đầu tư xây dựng công trình</t>
  </si>
  <si>
    <t>Quyết định số 2516/QĐ-BND ngày 15/11/2018 của UBND huyện</t>
  </si>
  <si>
    <t>Xây dựng đường giao thông đi khu sản xuất xã Sa Nghĩa</t>
  </si>
  <si>
    <t>Quyết định số 2278/QĐ-UBND ngày 30/10/2019 của Ủy ban nhân dân huyện Sa Thầy về việc phê duyệt điều chỉnh BCKTKT xây dựng công trình</t>
  </si>
  <si>
    <t>Quyết định phê duyệt dự án đầu tư số 1412/QĐ-UBND ngày 24/7/2019 của UBND huyện Sa Thầy;  Quyết định số 818/QĐ-UBND ngày 07/8/2019 của UBND tỉnh về danh mục dự án thực hiện trong năm 2019 ( bổ sung)</t>
  </si>
  <si>
    <t>Quyết định số 2365/QĐ-BND ngày 18/10/2018 của UBND huyện</t>
  </si>
  <si>
    <t>Quyết định phê duyệt dự án đầu tư số 1417/QĐ-UBND ngày 24/7/2019 của UBND huyện Sa Thầy;  Quyết định số 818/QĐ-UBND ngày 07/8/2019 của UBND tỉnh về danh mục dự án thực hiện trong năm 2019 ( bổ sung)</t>
  </si>
  <si>
    <t>Quyết định 1190/QĐ-UBND ngày 30/10/2018 của UBND tỉnh Kon Tum về phê duyệt báo cáo nghiên cứu khả thi xây dựng</t>
  </si>
  <si>
    <t>Tiểu dự án 02- cấp điện nông thôn từ lưới điện quốc gia tỉnh Kon Tum, giai đoạn 2018-2020, EU tài trợ</t>
  </si>
  <si>
    <t>Quyết định 1128/QĐ-UBND ngày 24/10/2018 của UBND tỉnh Kon Tum về phê duyệt báo cáo nghiên cứu khả thi xây dựng</t>
  </si>
  <si>
    <t>tiểu dự án 01- cấp điện nông thôn từ lưới điện quốc gia tỉnh Kon Tum sử dụng vốn ngân sách trung ương, giai đoạn 2014-2020</t>
  </si>
  <si>
    <t>Vốn từ nguồn dự phòng ngân sách trung ương năm 2019 theo Công văn số 127/SKHĐT-TH ngày 21/01/2020 của Sở Kế hoạch và Đầu tư</t>
  </si>
  <si>
    <t>Quyết định số 941c/QĐ-UBND ngà 20/9/2019 của UBND tỉnh Kon Tum về Phê duyệt đề án Hỗ trợ phát triển kinh tế - xã hội dân tộc thiểu số rất ít người Rơ Măm tỉnh Kon Tum đến năm 2025</t>
  </si>
  <si>
    <t>Quyết định số 2259/QĐ-UBND ngày 29/10/2019 của UBND huyện Sa Thầy phê duyệt kế hoạch lựa chọn nhà thầu xây dựng công trình</t>
  </si>
  <si>
    <t>Bải xử lý rác thải huyện Sa Thầy</t>
  </si>
  <si>
    <t>Nghị quyết số 37/NQ-HĐND ngày 22/10/2019 của HĐND huyện Sa Thầy  quyết định chủ trương đầu tư dự án</t>
  </si>
  <si>
    <t>Khu dân cư đường Điện Biên Phủ (đoạn từ trường Mầm non Hoa Hồng đến đường Hai Bà Trưng)</t>
  </si>
  <si>
    <t>Dự án đầu tư kết cấu hạ tầng điểm dân cư phía Nam thị trấn Sa Thầy</t>
  </si>
  <si>
    <t>Công văn số 2557/UBND-TH ngày 13/12/2019 của UBND huyện về việc giao nhiệm vụ triển khai thực hiện công việc năm 2020</t>
  </si>
  <si>
    <t>Dự án đầu tư kết cấu hạ tầng điểm dân cư thôn 3</t>
  </si>
  <si>
    <t>Quyết định số 1348/QĐ-UBND ngày 19/7/2019 của UBND huyện Sa Thầy</t>
  </si>
  <si>
    <t>Trụ sở hạt kiểm lâm huyện Sa Thầy</t>
  </si>
  <si>
    <t>Quyết định số1414/QĐ-UBND ngày 24/7/2019 của UBND huyện Sa Thầy</t>
  </si>
  <si>
    <t xml:space="preserve">Quyết định số 367/QĐ-UBND ngày 17/4/2019 của UBND tỉnh phê duyệt chủ trương đầu tư </t>
  </si>
  <si>
    <t xml:space="preserve">Xã Hơ Moong </t>
  </si>
  <si>
    <t>Sửa chữa nền, mặt đường, công trình thoát nước đoạn Km0-Km6 đường tái định cư thủy điện Plei Krông</t>
  </si>
  <si>
    <t>Đường nội làng Kleng ( đoạn từ nhà A Sin đến nhà ông A Ưi)</t>
  </si>
  <si>
    <t>Bê tông đường nội thôn Rờ Kơi ( Đoạn từ nhà A Tiei đến nhà A Tệp; đoạn từ nhà ông Nguyễn Văn Nghĩa đến nhà ông A Bình; đoạn từ nhà ông Lương Văn Điểm đến nhà A Biểu)</t>
  </si>
  <si>
    <t>Quyết định số 1093/QĐ-UBND ngày 17/10/2018 của UBND tỉnh phê duyệt chủ trương đầu tư danh mục dự án nhóm C quy mô nhỏ Chương trình 135 thuộc Chương trình mục tiêu quốc gia giảm nghèo bền vững năm 2019, 2020 trên địa bàn huyện Sa Thầy</t>
  </si>
  <si>
    <t>Bê tông đường nội thôn Bình Loong ( Đoạn nhà A Bi đến nhà A Cúi)</t>
  </si>
  <si>
    <t>Quyết định số 963/QĐ-UBND ngày 25/9/2017 của UBND tỉnh phê duyệt chủ trương đầu tư danh mục dự án nhóm C quy mô nhỏ chương trình 30a</t>
  </si>
  <si>
    <t>Đường GTNT thôn Kà Bầy ( đoạn từ  Trường Lê Văn Tám đến nhà bà Y Đông)</t>
  </si>
  <si>
    <t>Công văn số 1076/UBND-TH ngày 11/6/2018 của UBND huyện</t>
  </si>
  <si>
    <t>Khai thác quỹ đất khu vực trước Chợ trung tâm</t>
  </si>
  <si>
    <t>Công văn số 748/UBND-TH ngày 15/6/2018 của UBND huyện</t>
  </si>
  <si>
    <t xml:space="preserve">Quyết định 2362/QĐ-UBND ngày 18/10/2018 của UBND huyện </t>
  </si>
  <si>
    <t>Báo cáo số 355/BC-SKHĐT ngày 01/11/2018 của Sở Kế hoạch Đầu tư</t>
  </si>
  <si>
    <t>Trường Tiểu học Nguyễn Bá Ngọc xã Sa Bình</t>
  </si>
  <si>
    <t>Quyết định số 112/QĐ-UBND ngày 4/3/2019 của UBND tỉnh Về việc xếp hạng di tích cấp tỉnh Di tích lịch sử Điểm cao 1015-1049 thuộc xã Rơ Kơi và xã Hơ Moong, huyện Sa Thầy, tỉnh Kon Tum</t>
  </si>
  <si>
    <t>Quyết định số 2519/QĐ-BND ngày 15/11/2018 của UBND huyện</t>
  </si>
  <si>
    <t>Cấp nước sinh hoạt khu dân cư mới thị trấn Sa Thầy</t>
  </si>
  <si>
    <t>Quyết định số 2364/QĐ-BND ngày 18/10/2018 của UBND huyện</t>
  </si>
  <si>
    <t>Xây dựng vỉa hè đường Lê Hồng Phong đoạn từ đường trấn Hưng Đạo đến Điện Biên Phủ</t>
  </si>
  <si>
    <t>Khu thể thao làng Chốt (hạng mục sân bóng chuyền)</t>
  </si>
  <si>
    <t>Quyết định số 1093/QĐ-UBND ngày 17/10/2018 của UBND tỉnh phê duyệt chủ trương đầu tư danh mục dự án nhóm C quy mô nhỏ Chương trình 135 thuộc Chương trình mục tiêu quốc gia giảm nghèo bền vững năm 2019, 2020</t>
  </si>
  <si>
    <t>Đường nội làng K Đừ ( đoạn nhà ông Y Kem đến nhà ông A Ben)</t>
  </si>
  <si>
    <t>Quyết định số 879/QĐ-UBND ngày 21/8/2018 của UBND tỉnh phê duyệt giá đất cụ thể để tính tiền bồi thường</t>
  </si>
  <si>
    <t>Công văn số 1363/UBND-TH ngày 25/7/2019 của UBND huyện Sa Thầy;  Quyết định số 818/QĐ-UBND ngày 07/8/2019 của UBND tỉnh về danh mục dự án thực hiện trong năm 2019 ( bổ sung)</t>
  </si>
  <si>
    <t>Khai thác quỹ đất Trụ sở Hạt Kiểm lâm huyện Sa Thầy và các khu vực lân cận</t>
  </si>
  <si>
    <t>Quyết định số 580/QĐ-UBND ngày 07/6/2019  của UBND tỉnh phê duyệt kế hoạch sử dụng đất năm 2019 của các huyện và thành phố Kon Tum (bổ sung)</t>
  </si>
  <si>
    <t>Văn bản số 1885/VP-KT ngày 08/8/2018 của Uỷ ban nhân dân tỉnh Kon Tum</t>
  </si>
  <si>
    <t>Mở rộng đường vào trung tâm huyện và bổ sung đường phân luồng giao thông tại điểm đầu huyện Sa Thầy</t>
  </si>
  <si>
    <t>Quyết định số 85/QĐ-UBND ngày 02/02/2021 của UBND tỉnh Kon Tum</t>
  </si>
  <si>
    <t>Dự án chưa thực hiện trong năm 2021 chuyển sang thực hiện năm 2022</t>
  </si>
  <si>
    <t>Các công trình dự án còn lại</t>
  </si>
  <si>
    <t>Quyết định số 38/QĐ-TTg ngày 10/01/2018 của Thủ tướng Chinh phủ về việc phê duyệt chủ trương đầu tư Dự án nhà máy thủy điện Ialy mở rộng</t>
  </si>
  <si>
    <t>Công trình, dự án trong kế hoạch sử dụng đất cấp tỉnh</t>
  </si>
  <si>
    <t>(7)=(8)+…</t>
  </si>
  <si>
    <t>(5)=(6)+(7)</t>
  </si>
  <si>
    <t>Diện tích tăng thêm</t>
  </si>
  <si>
    <t>Cơ sở pháp lý</t>
  </si>
  <si>
    <t>Địa điểm (đến cấp Xã)</t>
  </si>
  <si>
    <t>Diện tích kế hoạch</t>
  </si>
  <si>
    <t xml:space="preserve">DANH MỤC CÔNG TRÌNH, DỰ ÁN THỰC HIỆN TRONG NĂM 2022 HUYỆN SA THẦY  - TỈNH KON TUM
</t>
  </si>
  <si>
    <t>HIỆN TRẠNG SỬ DỤNG ĐẤT NĂM 2021 CỦA HUYỆN SA THẦY - TỈNH KON TUM</t>
  </si>
  <si>
    <t>KẾT QUẢ THỰC HIỆN KẾ HOẠCH SỬ DỤNG ĐẤT NĂM TRƯỚC 
CỦA HUYỆN SA THẦY, TỈNH KON TUM</t>
  </si>
  <si>
    <t>Kế hoạch sử dụng đất năm 2021 (ha)</t>
  </si>
  <si>
    <t>Kết quả thực hiện đến ngày 31/12/2021</t>
  </si>
  <si>
    <t>KẾ HOẠCH SỬ DỤNG ĐẤT NĂM 2022 CỦA HUYỆN SA THẦY - TỈNH KON TUM</t>
  </si>
  <si>
    <t>Biểu 06/CH</t>
  </si>
  <si>
    <t>Biểu 07/CH</t>
  </si>
  <si>
    <t>KẾ HOẠCH CHUYỂN MỤC ĐÍCH SỬ DỤNG ĐẤT NĂM 2022 CỦA HUYỆN SA THẦY</t>
  </si>
  <si>
    <t>KẾ HOẠCH THU HỒI ĐẤT NĂM 2022 CỦA HUYỆN SA THẦY, TỈNH KON TUM</t>
  </si>
  <si>
    <t>Biểu 08/CH</t>
  </si>
  <si>
    <t>KẾ HOẠCH ĐƯA ĐẤT CHƯA SỬ DỤNG VÀO SỬ DỤNG NĂM 2022 CỦA HUYỆN SA THẦY, TỈNH KON TUM</t>
  </si>
  <si>
    <t>Biểu 09/CH</t>
  </si>
  <si>
    <t>Biểu 13/CH</t>
  </si>
  <si>
    <t>Diện tích đầu năm đến 31/12/2020</t>
  </si>
  <si>
    <t>Diện tích cuối năm 2022</t>
  </si>
  <si>
    <t>CHU CHUYỂN ĐẤT ĐAI TRONG KẾ HOẠCH SỬ DỤNG ĐẤT NĂM 2022 CỦA HUYỆN SA THẦY</t>
  </si>
  <si>
    <t>Trường TH-THCS xã Sa Sơn. Hạng mục: Nhà vệ sinh, cổng hàng rào và hạng mục phụ trợ</t>
  </si>
  <si>
    <t>Trường THCS Phan Đình Phùng (Hạng mục nhà học 08 phòng và hạng mục phụ trợ)</t>
  </si>
  <si>
    <t>Đầu tư kết cấu hạ tầng Điểm dân cư khu vực Hạt Kiểm lâm (cũ) và lận cận</t>
  </si>
  <si>
    <t>Nâng cấp, sửa chữa trụ sở làm việc huyện ủy Sa Thầy và các hạng mục phụ trợ</t>
  </si>
  <si>
    <t>Mở rộng đường Trần Hưng Đạo (đoạn từ đường Bế Văn Đàn đến ngõ 350)</t>
  </si>
  <si>
    <t>Sửa chữa mặt đường và hệ thống thoát nước, vĩa hè đường quy hoạch số 1 (đoạn từ đường Tô Vĩnh Diện đến đường Trường Chinh), thị trấn Sa Thầy, huyện Sa Thầy</t>
  </si>
  <si>
    <t>Sửa chữa mặt đường và hệ thống thoát nước vĩa hè đường Bùi Thị Xuân (đoạn từ đường Tô Vĩnh Diện đến đường Trường Chinh), thị trấn Sa Thầy, huyện Sa Thầy</t>
  </si>
  <si>
    <t>Sửa chữa mặt đường từ trung tâm xã Sa Sơn đi làng BarGốc</t>
  </si>
  <si>
    <t>Sửa chữa cầu treo Kram</t>
  </si>
  <si>
    <t xml:space="preserve">Sửa chữa cầu treo Làng Kênh; cầu treo đội 3, thôn Ia Tri; cầu treo Làng Xộp, cầu treo đi khu sản xuất Làng Rẽ </t>
  </si>
  <si>
    <t>Nghị quyết số 79/NQ-HĐND ngày 07 tháng 10 năm 2021 của Hội đồng nhân dân huyện Sa Thầy</t>
  </si>
  <si>
    <t>Quy hoạch giãn dân khu dân cư Lung Leng, xã Sa Bình</t>
  </si>
  <si>
    <t>Công văn số 1397/UBND-TH ngày 29 tháng 6 năm 2021 của UBND huyện Sa Thầy</t>
  </si>
  <si>
    <t>Dự án giãn dân làng Kđin xã Mô Rai</t>
  </si>
  <si>
    <t>Dự án đường vào xã Rờ Kơi Đồn biên phòng 705</t>
  </si>
  <si>
    <t>Công văn số 3230/BCH-HC ngày 06/10/2021 của Bộ Chỉ huy Bộ đội biên phòng tỉnh Kon Tum.</t>
  </si>
  <si>
    <t>Kè chống sạt lở suối Đăk Sia đoạn qua xã Sa Nhơn, Sa Nghĩa và thị trấn Sa Thầy, huyện Sa Thầy</t>
  </si>
  <si>
    <t>Nghị quyết số 28/NQ-HĐND ngày 09/7/2021 của Hội đồng nhân dân tỉnh Kon Tum</t>
  </si>
  <si>
    <t>Nghị quyết số 39/NQ-HĐND ngày 22/10/2021 của Hội đồng nhân dân tỉnh Kon Tum</t>
  </si>
  <si>
    <t>Sửa chữa, nâng cấp hệ thống tưới hồ chứa nước Đăk Car</t>
  </si>
  <si>
    <t>Nghị quyết số 20/NQ-HĐND ngày 29/4/2021 của Hội đồng nhân dân tỉnh Kon Tum</t>
  </si>
  <si>
    <t>Sửa chữa, nâng cấp hệ thống tưới hồ chứa nước Đập Đăk Sia II, huyện Sa Thầy</t>
  </si>
  <si>
    <t>Nhà máy điện mặt trời KN Kon Tum ( khu vực bố trí pin 228,48 ha; khu vực quản lý vận hành và TBA 110kV: 05ha, đường vào khu vực quản lý và TBA 110kV: 0,2ha)</t>
  </si>
  <si>
    <t>Dự án chăn nuôi của Công ty Bafam</t>
  </si>
  <si>
    <t xml:space="preserve">Dự án trồng rừng Công ty TNHH MTV Tư vấn - Xây dựng Tài Lộc </t>
  </si>
  <si>
    <t>Kế hoạch sử dụng đất năm 2022</t>
  </si>
  <si>
    <t>Kế hoạch sử dụng đất năm 2022 (ha)</t>
  </si>
  <si>
    <t>Hiện trạng đến 31/12/2021 (ha)</t>
  </si>
  <si>
    <t>Chỉ tiêu điều chỉnh quy hoạch đến 2020</t>
  </si>
  <si>
    <t>Đất chuyên trồng lúa nước</t>
  </si>
  <si>
    <t>Đất khu chế xuất</t>
  </si>
  <si>
    <t>SKT</t>
  </si>
  <si>
    <t>Đất cơ sở sản xuất kinh doanh</t>
  </si>
  <si>
    <t xml:space="preserve">Đất phát triển hạ tầng </t>
  </si>
  <si>
    <t>Đất làm nghĩa trang, nghĩa địa</t>
  </si>
  <si>
    <t>2.22</t>
  </si>
  <si>
    <t>2.23</t>
  </si>
  <si>
    <t>2.24</t>
  </si>
  <si>
    <t>2.25</t>
  </si>
  <si>
    <t>2.26</t>
  </si>
  <si>
    <t>Đất khu công nghệ cao*</t>
  </si>
  <si>
    <t>KCN</t>
  </si>
  <si>
    <t>Đất khu kinh tế*</t>
  </si>
  <si>
    <t>KKT</t>
  </si>
  <si>
    <t>Đất đô thị*</t>
  </si>
  <si>
    <t>KDT</t>
  </si>
  <si>
    <t>Mở rộng nhà máy thủy điện Ya Ly</t>
  </si>
  <si>
    <t>Chốt dân quân thường trực xã Mô Rai</t>
  </si>
  <si>
    <t>Trang trại trồng trọt chăn nuôi công nghệ cao tại xã Ya Ly</t>
  </si>
  <si>
    <t>Trang trại chăn nuôi heo công nghệ cao của công ty TNHH đầu tư phát triển sản xuất An Phú</t>
  </si>
  <si>
    <t>Tờ trình số 11/2021/TTr-Cty ngày 15/11/2021 của Công ty TNHH đầu tư phát triển sản xuất An Phú xin giới thiệu vị trí</t>
  </si>
  <si>
    <t>Trang trại trồng trọt, chăn nuôi công nghệ cao của công ty TNHH nông nghiệp An An Phát</t>
  </si>
  <si>
    <t>Văn bản số 31778/UBND - TH ngày 17/12/2021 của UBND huyện về việc rà soát, tham mưu đề nghị của Doanh nghiệp</t>
  </si>
  <si>
    <t>Trụ sở công an xã Hơ Moong</t>
  </si>
  <si>
    <t>Trụ sở công an xã Ya Xiêr</t>
  </si>
  <si>
    <t>Văn bản số 342/UBND -TH ngày 24/6/2010 của UBND huyện Sa Thầy về việc giới thiệu vị trí đất để xây dựng trạm quản lý bảo vệ rừng</t>
  </si>
  <si>
    <t>Thông báo số 79/TB -UBND ngày 30/7/2008 của UBND huyện Sa Thầy về việc thỏa thuận vị trí xây dựng trạm QLBVR</t>
  </si>
  <si>
    <t xml:space="preserve">Quyết định số 64/QĐ-Cty ngày 20/12/2019 của Giám đốc công ty Công ty TNHH MTV Lâm nghiệp Sa Thầy phê duyệt kết quả kiểm tra xác định vị trí đất để xây dựng công trình </t>
  </si>
  <si>
    <t>Văn bản số 318/CV-UB ngày 24/11/2004 của UBND huyện Sa Thầy về việc phúc đáp tờ trình xin giao đất xây dựng trạm</t>
  </si>
  <si>
    <t>Văn bản số 260/CV-UBND ngày 3/10/2005 của UBND huyện Sa Thầy về việc phúc đáp tờ trình số 10/TT - BQL ngày 20/9/2005 của BQL dự án 5 triệu ha rừng về việc xin cấp đất xây dựng nhà trạm QLBVR</t>
  </si>
  <si>
    <t>Thông báo số 144/TB -UBND ngày 09/11/2009 của UBND huyện Sa Thầy về việc thỏa thuận vị trí xây dựng</t>
  </si>
  <si>
    <t>Trạm quản lý bảo vệ rừng Ya Tăng ( tiểu khu 637) Công ty TNHH MTV Lâm nghiệp Sa Thầy</t>
  </si>
  <si>
    <t>Trạm quản lý bảo vệ rừng Ya Yang ( tiểu khu 629) Công ty TNHH MTV Lâm nghiệp Sa Thầy</t>
  </si>
  <si>
    <t>Trạm quản lý bảo vệ rừng Sê San 3 ( tiểu khu 642) Công ty TNHH MTV Lâm nghiệp Sa Thầy</t>
  </si>
  <si>
    <t>Trạm quản lý bảo vệ rừng Ya Mo ( tiểu khu 676) Công ty TNHH MTV Lâm nghiệp Sa Thầy</t>
  </si>
  <si>
    <t>Trạm quản lý bảo vệ rừng đội 4 ( tiểu khu 686) Công ty TNHH MTV Lâm nghiệp Sa Thầy</t>
  </si>
  <si>
    <t>Trạm quản lý bảo vệ rừng đội 10 ( tiểu khu 691) Công ty TNHH MTV Lâm nghiệp Sa Thầy</t>
  </si>
  <si>
    <t>Giao rừng xã Hơ Moong</t>
  </si>
  <si>
    <t>Giao rừng xã Sa Bình</t>
  </si>
  <si>
    <t>Xây dựng Sân bê tông, Hồ nước, Trồng cây Đài tưởng niệm Chư Tan Kra</t>
  </si>
  <si>
    <t>Bố trí, sắp xếp ổn định dân cư tập trung các thôn Kơ Tol, Đăk Yo tại thôn Kơ Tol</t>
  </si>
  <si>
    <t>Bố trí, sắp xếp ổn định dân cư làng Gr ập, làng Tang, làng Kênh, làng KĐin xen ghép tại làng KĐin</t>
  </si>
  <si>
    <t>Văn bản số 1771/UBND-TH ngày 08/8/2021 của UBND huyện về việc rà soát đề xuất các nội dung hỗ trợ thuộc chương trình MTQG phát triển kinh tế xã hội vùng đồng bào DTTD&amp;MN giai đoạn 2021-2025</t>
  </si>
  <si>
    <t>Đầu tư kết cấu hạ tầng khu dân cư dọc tuyến đường Điện Biên Phủ và đường Trần Quốc Toản)</t>
  </si>
  <si>
    <t>Xây dựng trụ sở Hạt kiểm lâm (Hoán đổi trụ sở Hạt kiểm lâm cũ đã điều chuyển về cho UBND huyện quản lý)</t>
  </si>
  <si>
    <t>Trường mầm non Hoa Sen xã Sa Nghĩa</t>
  </si>
  <si>
    <t>Trường mầm non xã Rờ Kơi (HM: Nhà học 5 phòng và các hạng mục phụ trợ)</t>
  </si>
  <si>
    <t>Quyết định số 2578/QĐ-UBND ngày 22 tháng 12 năm 2020 của Ủy ban nhân dân huyện Sa Thầy</t>
  </si>
  <si>
    <t>Nghị quyết số 43/NQ-HĐND ngày 18 tháng 12 năm 2020 của Hội đồng nhân dân huyện Sa Thầy</t>
  </si>
  <si>
    <t>Quyết định số 2570/QĐ-UBND ngày 22 tháng 12 năm 2020 của Ủy ban nhân dân huyện Sa Thầy</t>
  </si>
  <si>
    <t>Quyết định số 962/QĐ-UBND ngày 14/5/2020 của UBND huyện Sa Thầy</t>
  </si>
  <si>
    <t>Dự án đã thu hồi đất nhưng chưa thực hiện giao đất</t>
  </si>
  <si>
    <t>Quyết định 2112/QĐ-UBND ngày 23/12/2021 của UBND huyện Sa Thầy</t>
  </si>
  <si>
    <t>Dự án tuyến đường tránh đô thị phía tây thị trấn Sa Thầy, huyện sa Thầy</t>
  </si>
  <si>
    <t>Trụ sở làm việc (mới) Công an huyện Sa Thầy</t>
  </si>
  <si>
    <t>Làm mới Giếng khoan, Sửa chữa nhà vệ sinh học sinh và nhà vệ sinh giáo viên Trường Mầm non xã Sa Nhơn</t>
  </si>
  <si>
    <t>Sửa chữa nhà học Trường TH - THCS xã Sa Nghĩa</t>
  </si>
  <si>
    <t>Trường PT DTBT THCS Hai Bà Trưng (Hạng mục: 04 phòng học và các hạng mục phụ trợ)</t>
  </si>
  <si>
    <t>Trường Mầm non xã Ya Xiêr. Hạng mục: Sửa chữa nhà học, xây mới cổng hàng rào và hạng mục phụ trợ điểm trường trung tâm và điểm trường thôn Thanh Xuân</t>
  </si>
  <si>
    <t>Xây dựng Trường TH - THCS xã YaLy. Hạng mục: Nhà học 02 phòng và hạng mục phụ trợ điểm trường làng Tum</t>
  </si>
  <si>
    <t>Trường Mầm non Vàng Anh xã Ya Tăng. Hạng mục: Nhà phục vụ học tập 02 phòng và hạng mục phụ trợ</t>
  </si>
  <si>
    <t>Sửa chữa 02 dãy nhà học 2 tầng và hạng mục phụ trợ Trường THCS xã Rờ Kơi</t>
  </si>
  <si>
    <t>Xây dựng Trường PTDTBT Tiểu học Lý Thường Kiệt. Hạng mục: Nhà hiệu bộ và hạng mục phụ trợ</t>
  </si>
  <si>
    <t>Công văn số 1938/UBND-KTTH ngày 12 tháng 6 năm 2021 của Ủy ban nhân dân tỉnh Kon Tum</t>
  </si>
  <si>
    <t>4472/UBND-KTTH ngày 17/12/2021 của UBND tỉnh Kon Tum</t>
  </si>
  <si>
    <t>Quyết định số 1098/QĐ-UBND ngày 24/11/2021 của UBND tỉnh chấp thuận chủ trương đầu tư đồng thời chấp thuận nhà đầu tư</t>
  </si>
  <si>
    <t>Trang trại chăn nuôi heo khép kín Công ty Thiên Thành Tài</t>
  </si>
  <si>
    <t>Trang trại chăn nuôi heo khép kín Công ty TNHH Đầu tư Bắc Tây Nguyên</t>
  </si>
  <si>
    <t>Trang trại chăn nuôi của Công ty TNHH Đầu tư Tây Tây Nguyên.</t>
  </si>
  <si>
    <t>Thông báo thỏa thuận, giới thiệu vị trí đất cho Công ty Thiên Thành Tài khảo sát thực hiện dự án trang trại nuôi heo khép kin số 256/TB-UBND 30/10/2020</t>
  </si>
  <si>
    <t>Thông báo số 217/TB-UBND ngày 3/9/2020 của UBND huyện Sa Thầy</t>
  </si>
  <si>
    <t>Nhà máy sản xuất viên nén sinh khối</t>
  </si>
  <si>
    <t>Thông báo thỏa thuận, giới thiệu vị trí đất số 211/TB-UBND ngày 27/12/2021 của UBND huyện</t>
  </si>
  <si>
    <t>Đất trồng cỏ công ty cổ phần TGS Biomass Kon Tum</t>
  </si>
  <si>
    <t>Đất nông nghiệp ứng dụng công nghệ cao công ty cổ phần tập đoàn Hùng Nhơn</t>
  </si>
  <si>
    <t xml:space="preserve">Hiện trạng sử dụng đất đến năm 2021 </t>
  </si>
  <si>
    <t xml:space="preserve"> Diện tích (ha) </t>
  </si>
  <si>
    <t xml:space="preserve"> Cơ cấu (%) </t>
  </si>
  <si>
    <t>Mở rộng Trụ sở HĐND - UBND xã Sa Bình. Hạng mục: Phòng làm việc Ban chỉ huy quân sự xã</t>
  </si>
  <si>
    <t>Mở rộng Trụ sở HĐND - UBND xã Ya Tăng. Hạng mục: Phòng làm việc Ban chỉ huy quân sự xã</t>
  </si>
  <si>
    <t>Mở rộng Trụ sở HĐND - UBND xã Hơ Moong. Hạng mục: Phòng làm việc Ban chỉ huy quân sự xã</t>
  </si>
  <si>
    <t>Xây dựng Nhà Văn hóa xã Yaly và các hạng mục phụ trợ</t>
  </si>
  <si>
    <t>Tăng, giảm</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</si>
</sst>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_);_(* \(#,##0.00\);_(* &quot;-&quot;??_);_(@_)"/>
    <numFmt numFmtId="164" formatCode="_-* #,##0.00\ _₫_-;\-* #,##0.00\ _₫_-;_-* &quot;-&quot;??\ _₫_-;_-@_-"/>
    <numFmt numFmtId="165" formatCode="0.00_);\(0.00\)"/>
    <numFmt numFmtId="166" formatCode="0.0_);\(0.0\)"/>
    <numFmt numFmtId="167" formatCode="0_);\(0\)"/>
    <numFmt numFmtId="168" formatCode="_-* #,##0.00_-;\-* #,##0.00_-;_-* &quot;-&quot;??_-;_-@_-"/>
    <numFmt numFmtId="169" formatCode="\$#,##0\ ;\(\$#,##0\)"/>
    <numFmt numFmtId="170" formatCode="#,###"/>
    <numFmt numFmtId="171" formatCode="0##,###.00"/>
    <numFmt numFmtId="172" formatCode="_-* #,##0_-;\-* #,##0_-;_-* &quot;-&quot;_-;_-@_-"/>
    <numFmt numFmtId="173" formatCode="&quot;\&quot;#,##0;[Red]&quot;\&quot;&quot;\&quot;\-#,##0"/>
    <numFmt numFmtId="174" formatCode="&quot;\&quot;#,##0.00;[Red]&quot;\&quot;&quot;\&quot;&quot;\&quot;&quot;\&quot;&quot;\&quot;&quot;\&quot;\-#,##0.00"/>
    <numFmt numFmtId="175" formatCode="&quot;\&quot;#,##0.00;[Red]&quot;\&quot;\-#,##0.00"/>
    <numFmt numFmtId="176" formatCode="&quot;\&quot;#,##0;[Red]&quot;\&quot;\-#,##0"/>
    <numFmt numFmtId="177" formatCode="_-&quot;$&quot;* #,##0_-;\-&quot;$&quot;* #,##0_-;_-&quot;$&quot;* &quot;-&quot;_-;_-@_-"/>
    <numFmt numFmtId="178" formatCode="&quot;$&quot;\ #,##0;[Red]\-&quot;$&quot;\ #,##0"/>
    <numFmt numFmtId="179" formatCode="_-&quot;$&quot;* #,##0.00_-;\-&quot;$&quot;* #,##0.00_-;_-&quot;$&quot;* &quot;-&quot;??_-;_-@_-"/>
    <numFmt numFmtId="180" formatCode="_(* #,##0.000_);_(* \(#,##0.000\);_(* &quot;-&quot;??_);_(@_)"/>
  </numFmts>
  <fonts count="110">
    <font>
      <sz val="10"/>
      <name val=".VnTime"/>
    </font>
    <font>
      <sz val="14"/>
      <color theme="1"/>
      <name val="Times New Roman"/>
      <family val="2"/>
    </font>
    <font>
      <sz val="14"/>
      <color theme="1"/>
      <name val="Times New Roman"/>
      <family val="2"/>
    </font>
    <font>
      <sz val="14"/>
      <color theme="1"/>
      <name val="Times New Roman"/>
      <family val="2"/>
    </font>
    <font>
      <sz val="10"/>
      <name val=".VnTime"/>
      <family val="2"/>
    </font>
    <font>
      <sz val="10"/>
      <name val="Times New Roman"/>
      <family val="1"/>
    </font>
    <font>
      <b/>
      <sz val="12"/>
      <name val="Times New Roman"/>
      <family val="1"/>
    </font>
    <font>
      <sz val="12"/>
      <name val="Times New Roman"/>
      <family val="1"/>
    </font>
    <font>
      <i/>
      <sz val="12"/>
      <name val="Times New Roman"/>
      <family val="1"/>
    </font>
    <font>
      <sz val="11"/>
      <name val="Times New Roman"/>
      <family val="1"/>
    </font>
    <font>
      <sz val="9"/>
      <name val="Times New Roman"/>
      <family val="1"/>
    </font>
    <font>
      <sz val="8"/>
      <name val=".VnTime"/>
      <family val="2"/>
    </font>
    <font>
      <b/>
      <sz val="11"/>
      <name val="Times New Roman"/>
      <family val="1"/>
    </font>
    <font>
      <i/>
      <sz val="11"/>
      <name val="Times New Roman"/>
      <family val="1"/>
    </font>
    <font>
      <sz val="12"/>
      <name val=".VnTime"/>
      <family val="2"/>
    </font>
    <font>
      <b/>
      <sz val="10"/>
      <name val="Times New Roman"/>
      <family val="1"/>
    </font>
    <font>
      <sz val="10"/>
      <name val=".VnTime"/>
      <family val="2"/>
    </font>
    <font>
      <sz val="10"/>
      <name val="Arial"/>
      <family val="2"/>
    </font>
    <font>
      <sz val="9"/>
      <name val=".VnTime"/>
      <family val="2"/>
    </font>
    <font>
      <b/>
      <sz val="9"/>
      <name val=".VnTime"/>
      <family val="2"/>
    </font>
    <font>
      <sz val="10"/>
      <color indexed="10"/>
      <name val=".VnTime"/>
      <family val="2"/>
    </font>
    <font>
      <b/>
      <i/>
      <sz val="12"/>
      <name val="Times New Roman"/>
      <family val="1"/>
    </font>
    <font>
      <b/>
      <sz val="10"/>
      <name val=".VnTime"/>
      <family val="2"/>
    </font>
    <font>
      <sz val="11"/>
      <name val=".VnTime"/>
      <family val="2"/>
    </font>
    <font>
      <b/>
      <i/>
      <sz val="11"/>
      <name val="Times New Roman"/>
      <family val="1"/>
    </font>
    <font>
      <b/>
      <sz val="9"/>
      <name val="Times New Roman"/>
      <family val="1"/>
    </font>
    <font>
      <sz val="14"/>
      <name val=".VnTime"/>
      <family val="2"/>
    </font>
    <font>
      <sz val="11"/>
      <color indexed="8"/>
      <name val="Calibri"/>
      <family val="2"/>
    </font>
    <font>
      <i/>
      <sz val="10"/>
      <name val="Times New Roman"/>
      <family val="1"/>
    </font>
    <font>
      <b/>
      <sz val="10"/>
      <name val=".VnTimeH"/>
      <family val="2"/>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amily val="3"/>
      <charset val="129"/>
    </font>
    <font>
      <sz val="12"/>
      <name val="VNI-Times"/>
    </font>
    <font>
      <sz val="8"/>
      <name val="Arial"/>
      <family val="2"/>
    </font>
    <font>
      <b/>
      <sz val="12"/>
      <name val="Arial"/>
      <family val="2"/>
    </font>
    <font>
      <b/>
      <sz val="14"/>
      <name val=".VnTimeH"/>
      <family val="2"/>
    </font>
    <font>
      <u/>
      <sz val="9"/>
      <color indexed="12"/>
      <name val=".VnTime"/>
      <family val="2"/>
    </font>
    <font>
      <sz val="10"/>
      <name val=".VnAvant"/>
      <family val="2"/>
    </font>
    <font>
      <sz val="12"/>
      <name val="Arial"/>
      <family val="2"/>
    </font>
    <font>
      <sz val="12"/>
      <name val="VNtimes new roman"/>
      <family val="2"/>
    </font>
    <font>
      <sz val="10"/>
      <name val="Arial"/>
      <family val="2"/>
      <charset val="163"/>
    </font>
    <font>
      <sz val="14"/>
      <name val="System"/>
      <family val="2"/>
    </font>
    <font>
      <sz val="14"/>
      <name val="뼻뮝"/>
      <family val="3"/>
      <charset val="129"/>
    </font>
    <font>
      <sz val="12"/>
      <name val="바탕체"/>
      <family val="3"/>
    </font>
    <font>
      <sz val="12"/>
      <name val="뼻뮝"/>
      <family val="1"/>
      <charset val="129"/>
    </font>
    <font>
      <sz val="9"/>
      <name val="Arial"/>
      <family val="2"/>
    </font>
    <font>
      <sz val="12"/>
      <name val="바탕체"/>
      <family val="1"/>
      <charset val="129"/>
    </font>
    <font>
      <sz val="10"/>
      <name val="굴림체"/>
      <family val="3"/>
      <charset val="129"/>
    </font>
    <font>
      <sz val="12"/>
      <name val="Courier"/>
      <family val="3"/>
    </font>
    <font>
      <sz val="10"/>
      <name val=" "/>
      <family val="1"/>
      <charset val="136"/>
    </font>
    <font>
      <sz val="11"/>
      <color theme="1"/>
      <name val="Calibri"/>
      <family val="2"/>
      <charset val="163"/>
      <scheme val="minor"/>
    </font>
    <font>
      <sz val="10"/>
      <color rgb="FFFF0000"/>
      <name val=".VnTime"/>
      <family val="2"/>
    </font>
    <font>
      <sz val="9"/>
      <color rgb="FFFF0000"/>
      <name val=".VnTime"/>
      <family val="2"/>
    </font>
    <font>
      <sz val="9"/>
      <color rgb="FFFF0000"/>
      <name val="Times New Roman"/>
      <family val="1"/>
    </font>
    <font>
      <b/>
      <sz val="10"/>
      <color rgb="FFFF0000"/>
      <name val=".VnTime"/>
      <family val="2"/>
    </font>
    <font>
      <sz val="10"/>
      <color rgb="FFFF0000"/>
      <name val="Times New Roman"/>
      <family val="1"/>
    </font>
    <font>
      <sz val="12"/>
      <color theme="1"/>
      <name val="Times New Roman"/>
      <family val="1"/>
    </font>
    <font>
      <b/>
      <sz val="12"/>
      <color theme="1"/>
      <name val="Times New Roman"/>
      <family val="1"/>
    </font>
    <font>
      <i/>
      <sz val="12"/>
      <color theme="1"/>
      <name val="Times New Roman"/>
      <family val="1"/>
    </font>
    <font>
      <b/>
      <i/>
      <sz val="12"/>
      <color theme="1"/>
      <name val="Times New Roman"/>
      <family val="1"/>
    </font>
    <font>
      <sz val="14"/>
      <color theme="1"/>
      <name val="Times New Roman"/>
      <family val="2"/>
    </font>
    <font>
      <sz val="10"/>
      <name val=".VnTime"/>
      <family val="2"/>
    </font>
    <font>
      <sz val="11"/>
      <color theme="1"/>
      <name val="Calibri"/>
      <family val="2"/>
      <scheme val="minor"/>
    </font>
    <font>
      <i/>
      <sz val="10"/>
      <name val=".VnTime"/>
      <family val="2"/>
    </font>
    <font>
      <i/>
      <sz val="11"/>
      <color rgb="FFFF0000"/>
      <name val="Times New Roman"/>
      <family val="1"/>
    </font>
    <font>
      <i/>
      <sz val="10"/>
      <color rgb="FFFF0000"/>
      <name val=".VnTime"/>
      <family val="2"/>
    </font>
    <font>
      <i/>
      <sz val="9"/>
      <name val="Times New Roman"/>
      <family val="1"/>
    </font>
    <font>
      <i/>
      <sz val="10"/>
      <color rgb="FFFF0000"/>
      <name val="Times New Roman"/>
      <family val="1"/>
    </font>
    <font>
      <b/>
      <sz val="14"/>
      <name val="Times New Roman"/>
      <family val="1"/>
    </font>
    <font>
      <sz val="14"/>
      <name val="Times New Roman"/>
      <family val="1"/>
    </font>
    <font>
      <b/>
      <sz val="13"/>
      <name val="Times New Roman"/>
      <family val="1"/>
    </font>
    <font>
      <sz val="13"/>
      <name val="Times New Roman"/>
      <family val="1"/>
    </font>
    <font>
      <b/>
      <sz val="13"/>
      <color theme="1"/>
      <name val="Times New Roman"/>
      <family val="1"/>
    </font>
    <font>
      <sz val="13"/>
      <color theme="1"/>
      <name val="Times New Roman"/>
      <family val="1"/>
    </font>
    <font>
      <i/>
      <sz val="13"/>
      <color theme="1"/>
      <name val="Times New Roman"/>
      <family val="1"/>
    </font>
    <font>
      <i/>
      <sz val="13"/>
      <name val="Times New Roman"/>
      <family val="1"/>
    </font>
    <font>
      <b/>
      <i/>
      <sz val="10"/>
      <name val=".VnTime"/>
      <family val="2"/>
    </font>
    <font>
      <i/>
      <sz val="9"/>
      <name val=".VnTime"/>
      <family val="2"/>
    </font>
    <font>
      <sz val="11"/>
      <color rgb="FFFF0000"/>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2"/>
      <name val=".VnTime"/>
      <family val="2"/>
    </font>
    <font>
      <sz val="10"/>
      <name val=".VnTime"/>
      <family val="2"/>
    </font>
    <font>
      <i/>
      <sz val="12"/>
      <name val=".VnTime"/>
      <family val="2"/>
    </font>
    <font>
      <b/>
      <i/>
      <sz val="12"/>
      <name val=".VnTime"/>
      <family val="2"/>
    </font>
    <font>
      <b/>
      <sz val="11"/>
      <color theme="1"/>
      <name val="Times New Roman"/>
      <family val="1"/>
    </font>
    <font>
      <sz val="11"/>
      <color theme="1"/>
      <name val="Times New Roman"/>
      <family val="1"/>
    </font>
    <font>
      <sz val="11"/>
      <color theme="1"/>
      <name val=".VnTime"/>
      <family val="2"/>
    </font>
    <font>
      <b/>
      <i/>
      <sz val="11"/>
      <color theme="1"/>
      <name val="Times New Roman"/>
      <family val="1"/>
    </font>
    <font>
      <sz val="11"/>
      <color theme="1"/>
      <name val="Times New Roman"/>
      <family val="1"/>
      <charset val="163"/>
    </font>
    <font>
      <sz val="11"/>
      <color theme="1"/>
      <name val=".VnTime"/>
      <family val="2"/>
      <charset val="163"/>
    </font>
    <font>
      <b/>
      <i/>
      <sz val="11"/>
      <color theme="1"/>
      <name val=".VnTime"/>
      <family val="2"/>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7030A0"/>
        <bgColor indexed="64"/>
      </patternFill>
    </fill>
  </fills>
  <borders count="57">
    <border>
      <left/>
      <right/>
      <top/>
      <bottom/>
      <diagonal/>
    </border>
    <border>
      <left style="thin">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8"/>
      </left>
      <right style="thin">
        <color indexed="8"/>
      </right>
      <top style="thin">
        <color indexed="8"/>
      </top>
      <bottom style="hair">
        <color indexed="8"/>
      </bottom>
      <diagonal/>
    </border>
    <border>
      <left style="thin">
        <color indexed="8"/>
      </left>
      <right style="thin">
        <color indexed="8"/>
      </right>
      <top/>
      <bottom style="thin">
        <color indexed="8"/>
      </bottom>
      <diagonal/>
    </border>
    <border>
      <left style="thin">
        <color indexed="8"/>
      </left>
      <right style="thin">
        <color indexed="8"/>
      </right>
      <top style="dotted">
        <color indexed="8"/>
      </top>
      <bottom style="dotted">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64"/>
      </top>
      <bottom style="dotted">
        <color indexed="8"/>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style="dotted">
        <color indexed="8"/>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diagonal/>
    </border>
    <border>
      <left style="thin">
        <color indexed="64"/>
      </left>
      <right style="thin">
        <color indexed="64"/>
      </right>
      <top style="hair">
        <color indexed="64"/>
      </top>
      <bottom/>
      <diagonal/>
    </border>
    <border>
      <left style="thin">
        <color indexed="8"/>
      </left>
      <right style="thin">
        <color indexed="64"/>
      </right>
      <top style="hair">
        <color indexed="8"/>
      </top>
      <bottom style="hair">
        <color indexed="8"/>
      </bottom>
      <diagonal/>
    </border>
    <border>
      <left style="thin">
        <color indexed="8"/>
      </left>
      <right style="thin">
        <color indexed="8"/>
      </right>
      <top style="thin">
        <color indexed="64"/>
      </top>
      <bottom style="hair">
        <color indexed="8"/>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dotted">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dotted">
        <color indexed="64"/>
      </top>
      <bottom/>
      <diagonal/>
    </border>
    <border>
      <left style="thin">
        <color indexed="8"/>
      </left>
      <right style="thin">
        <color indexed="8"/>
      </right>
      <top style="hair">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otted">
        <color indexed="8"/>
      </top>
      <bottom style="thin">
        <color indexed="64"/>
      </bottom>
      <diagonal/>
    </border>
    <border>
      <left style="thin">
        <color indexed="64"/>
      </left>
      <right style="thin">
        <color indexed="64"/>
      </right>
      <top style="thin">
        <color indexed="8"/>
      </top>
      <bottom/>
      <diagonal/>
    </border>
    <border>
      <left/>
      <right style="thin">
        <color indexed="64"/>
      </right>
      <top/>
      <bottom/>
      <diagonal/>
    </border>
    <border>
      <left style="thin">
        <color indexed="64"/>
      </left>
      <right/>
      <top style="thin">
        <color indexed="64"/>
      </top>
      <bottom/>
      <diagonal/>
    </border>
  </borders>
  <cellStyleXfs count="174">
    <xf numFmtId="0" fontId="0" fillId="0" borderId="0"/>
    <xf numFmtId="0" fontId="29" fillId="0" borderId="1" applyFont="0" applyAlignment="0">
      <alignment horizontal="left"/>
    </xf>
    <xf numFmtId="0" fontId="30" fillId="2" borderId="0"/>
    <xf numFmtId="0" fontId="31" fillId="2" borderId="0"/>
    <xf numFmtId="0" fontId="32" fillId="2" borderId="0"/>
    <xf numFmtId="0" fontId="33" fillId="0" borderId="0">
      <alignment wrapText="1"/>
    </xf>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xf numFmtId="0" fontId="35" fillId="0" borderId="0"/>
    <xf numFmtId="43" fontId="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27" fillId="0" borderId="0" applyFont="0" applyFill="0" applyBorder="0" applyAlignment="0" applyProtection="0"/>
    <xf numFmtId="3" fontId="17" fillId="0" borderId="0" applyFont="0" applyFill="0" applyBorder="0" applyAlignment="0" applyProtection="0"/>
    <xf numFmtId="169" fontId="17" fillId="0" borderId="0" applyFont="0" applyFill="0" applyBorder="0" applyAlignment="0" applyProtection="0"/>
    <xf numFmtId="0" fontId="17" fillId="0" borderId="0" applyFont="0" applyFill="0" applyBorder="0" applyAlignment="0" applyProtection="0"/>
    <xf numFmtId="2" fontId="17" fillId="0" borderId="0" applyFont="0" applyFill="0" applyBorder="0" applyAlignment="0" applyProtection="0"/>
    <xf numFmtId="38" fontId="36" fillId="3" borderId="0" applyNumberFormat="0" applyBorder="0" applyAlignment="0" applyProtection="0"/>
    <xf numFmtId="0" fontId="37" fillId="0" borderId="2" applyNumberFormat="0" applyAlignment="0" applyProtection="0">
      <alignment horizontal="left" vertical="center"/>
    </xf>
    <xf numFmtId="0" fontId="37" fillId="0" borderId="3">
      <alignment horizontal="left" vertical="center"/>
    </xf>
    <xf numFmtId="49" fontId="38" fillId="0" borderId="4">
      <alignment vertical="center"/>
    </xf>
    <xf numFmtId="0" fontId="39" fillId="0" borderId="0" applyNumberFormat="0" applyFill="0" applyBorder="0" applyAlignment="0" applyProtection="0">
      <alignment vertical="top"/>
      <protection locked="0"/>
    </xf>
    <xf numFmtId="10" fontId="36" fillId="3" borderId="4" applyNumberFormat="0" applyBorder="0" applyAlignment="0" applyProtection="0"/>
    <xf numFmtId="170" fontId="40" fillId="0" borderId="5"/>
    <xf numFmtId="0" fontId="41" fillId="0" borderId="0" applyNumberFormat="0" applyFont="0" applyFill="0" applyAlignment="0"/>
    <xf numFmtId="171" fontId="42" fillId="0" borderId="0"/>
    <xf numFmtId="0" fontId="43" fillId="0" borderId="0"/>
    <xf numFmtId="0" fontId="16" fillId="0" borderId="0"/>
    <xf numFmtId="0" fontId="16" fillId="0" borderId="0"/>
    <xf numFmtId="0" fontId="17" fillId="0" borderId="0"/>
    <xf numFmtId="0" fontId="16" fillId="0" borderId="0"/>
    <xf numFmtId="0" fontId="5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6" fillId="0" borderId="0"/>
    <xf numFmtId="0" fontId="16" fillId="0" borderId="0"/>
    <xf numFmtId="0" fontId="17" fillId="0" borderId="0"/>
    <xf numFmtId="3" fontId="44" fillId="0" borderId="0" applyFont="0" applyFill="0" applyBorder="0" applyAlignment="0" applyProtection="0"/>
    <xf numFmtId="10" fontId="17" fillId="0" borderId="0" applyFont="0" applyFill="0" applyBorder="0" applyAlignment="0" applyProtection="0"/>
    <xf numFmtId="40" fontId="45" fillId="0" borderId="0" applyFont="0" applyFill="0" applyBorder="0" applyAlignment="0" applyProtection="0"/>
    <xf numFmtId="38"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9" fontId="46" fillId="0" borderId="0" applyFont="0" applyFill="0" applyBorder="0" applyAlignment="0" applyProtection="0"/>
    <xf numFmtId="0" fontId="47" fillId="0" borderId="0"/>
    <xf numFmtId="0" fontId="41" fillId="0" borderId="0"/>
    <xf numFmtId="172" fontId="48" fillId="0" borderId="0" applyFont="0" applyFill="0" applyBorder="0" applyAlignment="0" applyProtection="0"/>
    <xf numFmtId="168" fontId="48" fillId="0" borderId="0" applyFont="0" applyFill="0" applyBorder="0" applyAlignment="0" applyProtection="0"/>
    <xf numFmtId="173" fontId="17" fillId="0" borderId="0" applyFont="0" applyFill="0" applyBorder="0" applyAlignment="0" applyProtection="0"/>
    <xf numFmtId="174" fontId="17" fillId="0" borderId="0" applyFont="0" applyFill="0" applyBorder="0" applyAlignment="0" applyProtection="0"/>
    <xf numFmtId="175" fontId="49" fillId="0" borderId="0" applyFont="0" applyFill="0" applyBorder="0" applyAlignment="0" applyProtection="0"/>
    <xf numFmtId="176" fontId="49" fillId="0" borderId="0" applyFont="0" applyFill="0" applyBorder="0" applyAlignment="0" applyProtection="0"/>
    <xf numFmtId="0" fontId="50" fillId="0" borderId="0"/>
    <xf numFmtId="177" fontId="48" fillId="0" borderId="0" applyFont="0" applyFill="0" applyBorder="0" applyAlignment="0" applyProtection="0"/>
    <xf numFmtId="178" fontId="51" fillId="0" borderId="0" applyFont="0" applyFill="0" applyBorder="0" applyAlignment="0" applyProtection="0"/>
    <xf numFmtId="179" fontId="48"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7" fillId="0" borderId="0">
      <alignment vertical="center"/>
    </xf>
    <xf numFmtId="0" fontId="63" fillId="0" borderId="0"/>
    <xf numFmtId="0" fontId="63" fillId="0" borderId="0"/>
    <xf numFmtId="0" fontId="63" fillId="0" borderId="0"/>
    <xf numFmtId="0" fontId="63" fillId="0" borderId="0"/>
    <xf numFmtId="0" fontId="63" fillId="0" borderId="0"/>
    <xf numFmtId="43" fontId="4" fillId="0" borderId="0" applyFont="0" applyFill="0" applyBorder="0" applyAlignment="0" applyProtection="0"/>
    <xf numFmtId="0" fontId="17" fillId="0" borderId="0"/>
    <xf numFmtId="0" fontId="4" fillId="0" borderId="0"/>
    <xf numFmtId="43" fontId="6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3" fillId="0" borderId="0"/>
    <xf numFmtId="0" fontId="4" fillId="0" borderId="0"/>
    <xf numFmtId="0" fontId="4" fillId="0" borderId="0"/>
    <xf numFmtId="0" fontId="27" fillId="0" borderId="0"/>
    <xf numFmtId="43" fontId="17" fillId="0" borderId="0" applyFont="0" applyFill="0" applyBorder="0" applyAlignment="0" applyProtection="0"/>
    <xf numFmtId="0" fontId="4" fillId="0" borderId="0"/>
    <xf numFmtId="43" fontId="4" fillId="0" borderId="0" applyFont="0" applyFill="0" applyBorder="0" applyAlignment="0" applyProtection="0"/>
    <xf numFmtId="0" fontId="2" fillId="0" borderId="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0" borderId="0" applyNumberFormat="0" applyBorder="0" applyAlignment="0" applyProtection="0"/>
    <xf numFmtId="0" fontId="82" fillId="13" borderId="0" applyNumberFormat="0" applyBorder="0" applyAlignment="0" applyProtection="0"/>
    <xf numFmtId="0" fontId="82" fillId="16" borderId="0" applyNumberFormat="0" applyBorder="0" applyAlignment="0" applyProtection="0"/>
    <xf numFmtId="0" fontId="83" fillId="17"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4" borderId="0" applyNumberFormat="0" applyBorder="0" applyAlignment="0" applyProtection="0"/>
    <xf numFmtId="0" fontId="84" fillId="8" borderId="0" applyNumberFormat="0" applyBorder="0" applyAlignment="0" applyProtection="0"/>
    <xf numFmtId="0" fontId="85" fillId="25" borderId="42" applyNumberFormat="0" applyAlignment="0" applyProtection="0"/>
    <xf numFmtId="0" fontId="86" fillId="26" borderId="43" applyNumberFormat="0" applyAlignment="0" applyProtection="0"/>
    <xf numFmtId="43" fontId="1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87" fillId="0" borderId="0" applyNumberForma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0" fontId="88" fillId="9" borderId="0" applyNumberFormat="0" applyBorder="0" applyAlignment="0" applyProtection="0"/>
    <xf numFmtId="0" fontId="89" fillId="0" borderId="44" applyNumberFormat="0" applyFill="0" applyAlignment="0" applyProtection="0"/>
    <xf numFmtId="0" fontId="90" fillId="0" borderId="45" applyNumberFormat="0" applyFill="0" applyAlignment="0" applyProtection="0"/>
    <xf numFmtId="0" fontId="91" fillId="0" borderId="46" applyNumberFormat="0" applyFill="0" applyAlignment="0" applyProtection="0"/>
    <xf numFmtId="0" fontId="91" fillId="0" borderId="0" applyNumberFormat="0" applyFill="0" applyBorder="0" applyAlignment="0" applyProtection="0"/>
    <xf numFmtId="0" fontId="92" fillId="12" borderId="42" applyNumberFormat="0" applyAlignment="0" applyProtection="0"/>
    <xf numFmtId="0" fontId="92" fillId="12" borderId="42" applyNumberFormat="0" applyAlignment="0" applyProtection="0"/>
    <xf numFmtId="0" fontId="92" fillId="12" borderId="42" applyNumberFormat="0" applyAlignment="0" applyProtection="0"/>
    <xf numFmtId="0" fontId="92" fillId="12" borderId="42" applyNumberFormat="0" applyAlignment="0" applyProtection="0"/>
    <xf numFmtId="0" fontId="92" fillId="12" borderId="42" applyNumberFormat="0" applyAlignment="0" applyProtection="0"/>
    <xf numFmtId="0" fontId="93" fillId="0" borderId="47" applyNumberFormat="0" applyFill="0" applyAlignment="0" applyProtection="0"/>
    <xf numFmtId="0" fontId="94" fillId="27" borderId="0" applyNumberFormat="0" applyBorder="0" applyAlignment="0" applyProtection="0"/>
    <xf numFmtId="171" fontId="42" fillId="0" borderId="0"/>
    <xf numFmtId="0" fontId="17" fillId="0" borderId="0"/>
    <xf numFmtId="0" fontId="17" fillId="0" borderId="0"/>
    <xf numFmtId="0" fontId="17" fillId="0" borderId="0"/>
    <xf numFmtId="0" fontId="65" fillId="0" borderId="0"/>
    <xf numFmtId="0" fontId="17" fillId="0" borderId="0"/>
    <xf numFmtId="0" fontId="27" fillId="28" borderId="48" applyNumberFormat="0" applyFont="0" applyAlignment="0" applyProtection="0"/>
    <xf numFmtId="0" fontId="95" fillId="25" borderId="49"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96" fillId="0" borderId="0" applyNumberFormat="0" applyFill="0" applyBorder="0" applyAlignment="0" applyProtection="0"/>
    <xf numFmtId="0" fontId="97" fillId="0" borderId="50" applyNumberFormat="0" applyFill="0" applyAlignment="0" applyProtection="0"/>
    <xf numFmtId="0" fontId="98" fillId="0" borderId="0" applyNumberFormat="0" applyFill="0" applyBorder="0" applyAlignment="0" applyProtection="0"/>
    <xf numFmtId="43" fontId="100" fillId="0" borderId="0" applyFont="0" applyFill="0" applyBorder="0" applyAlignment="0" applyProtection="0"/>
    <xf numFmtId="0" fontId="1" fillId="0" borderId="0"/>
  </cellStyleXfs>
  <cellXfs count="827">
    <xf numFmtId="0" fontId="0" fillId="0" borderId="0" xfId="0"/>
    <xf numFmtId="0" fontId="0" fillId="0" borderId="0" xfId="0" applyAlignment="1">
      <alignment horizontal="center"/>
    </xf>
    <xf numFmtId="0" fontId="8" fillId="0" borderId="0" xfId="0" applyFont="1"/>
    <xf numFmtId="167" fontId="0" fillId="0" borderId="0" xfId="0" applyNumberFormat="1"/>
    <xf numFmtId="0" fontId="6" fillId="0" borderId="0" xfId="0" applyFont="1" applyAlignment="1">
      <alignment wrapText="1"/>
    </xf>
    <xf numFmtId="0" fontId="20" fillId="0" borderId="0" xfId="0" applyFont="1"/>
    <xf numFmtId="0" fontId="15" fillId="0" borderId="0" xfId="0" applyFont="1" applyBorder="1" applyAlignment="1">
      <alignment vertical="center" wrapText="1"/>
    </xf>
    <xf numFmtId="167" fontId="10" fillId="0" borderId="0" xfId="0" applyNumberFormat="1" applyFont="1" applyBorder="1" applyAlignment="1">
      <alignment horizontal="left" vertical="top" wrapText="1" indent="1"/>
    </xf>
    <xf numFmtId="43" fontId="10" fillId="0" borderId="0" xfId="0" applyNumberFormat="1" applyFont="1" applyFill="1" applyBorder="1" applyAlignment="1">
      <alignment horizontal="right" vertical="center" wrapText="1"/>
    </xf>
    <xf numFmtId="0" fontId="18" fillId="0" borderId="0" xfId="0" applyFont="1" applyBorder="1"/>
    <xf numFmtId="0" fontId="22" fillId="0" borderId="0" xfId="0" applyFont="1"/>
    <xf numFmtId="0" fontId="54" fillId="0" borderId="0" xfId="0" applyFont="1"/>
    <xf numFmtId="0" fontId="16" fillId="0" borderId="0" xfId="0" applyFont="1"/>
    <xf numFmtId="0" fontId="12" fillId="0" borderId="4" xfId="48" applyFont="1" applyFill="1" applyBorder="1" applyAlignment="1">
      <alignment horizontal="center" vertical="center" wrapText="1"/>
    </xf>
    <xf numFmtId="0" fontId="12" fillId="0" borderId="4" xfId="48" applyFont="1" applyFill="1" applyBorder="1" applyAlignment="1">
      <alignment horizontal="center" vertical="center"/>
    </xf>
    <xf numFmtId="165" fontId="6" fillId="0" borderId="6" xfId="0" applyNumberFormat="1" applyFont="1" applyBorder="1" applyAlignment="1">
      <alignment vertical="top" wrapText="1"/>
    </xf>
    <xf numFmtId="165" fontId="7" fillId="0" borderId="6" xfId="0" applyNumberFormat="1" applyFont="1" applyBorder="1" applyAlignment="1">
      <alignment vertical="top" wrapText="1"/>
    </xf>
    <xf numFmtId="165" fontId="8" fillId="0" borderId="6" xfId="0" applyNumberFormat="1" applyFont="1" applyBorder="1" applyAlignment="1">
      <alignment vertical="top" wrapText="1"/>
    </xf>
    <xf numFmtId="0" fontId="12" fillId="0" borderId="7" xfId="0" applyFont="1" applyBorder="1" applyAlignment="1">
      <alignment vertical="top" wrapText="1"/>
    </xf>
    <xf numFmtId="0" fontId="12" fillId="0" borderId="7" xfId="0" applyFont="1" applyBorder="1" applyAlignment="1">
      <alignment horizontal="left" vertical="top" wrapText="1" indent="1"/>
    </xf>
    <xf numFmtId="0" fontId="9" fillId="0" borderId="8" xfId="0" applyFont="1" applyBorder="1" applyAlignment="1">
      <alignment vertical="top" wrapText="1"/>
    </xf>
    <xf numFmtId="0" fontId="9" fillId="0" borderId="8" xfId="0" applyFont="1" applyBorder="1" applyAlignment="1">
      <alignment horizontal="left" vertical="top" wrapText="1" indent="1"/>
    </xf>
    <xf numFmtId="0" fontId="13" fillId="0" borderId="8" xfId="0" applyFont="1" applyBorder="1" applyAlignment="1">
      <alignment vertical="top" wrapText="1"/>
    </xf>
    <xf numFmtId="0" fontId="13" fillId="0" borderId="8" xfId="0" applyFont="1" applyBorder="1" applyAlignment="1">
      <alignment horizontal="left" vertical="top" wrapText="1" indent="1"/>
    </xf>
    <xf numFmtId="0" fontId="12" fillId="0" borderId="8" xfId="0" applyFont="1" applyBorder="1" applyAlignment="1">
      <alignment vertical="top" wrapText="1"/>
    </xf>
    <xf numFmtId="0" fontId="12" fillId="0" borderId="8" xfId="0" applyFont="1" applyBorder="1" applyAlignment="1">
      <alignment horizontal="left" vertical="top" wrapText="1" indent="1"/>
    </xf>
    <xf numFmtId="0" fontId="12" fillId="0" borderId="9" xfId="0" applyFont="1" applyBorder="1" applyAlignment="1">
      <alignment vertical="top" wrapText="1"/>
    </xf>
    <xf numFmtId="43" fontId="25" fillId="0" borderId="0" xfId="0" applyNumberFormat="1" applyFont="1" applyFill="1" applyBorder="1" applyAlignment="1">
      <alignment horizontal="right" vertical="center" wrapText="1"/>
    </xf>
    <xf numFmtId="0" fontId="19" fillId="0" borderId="0" xfId="0" applyFont="1" applyBorder="1"/>
    <xf numFmtId="165" fontId="6" fillId="0" borderId="10" xfId="0" applyNumberFormat="1" applyFont="1" applyBorder="1" applyAlignment="1">
      <alignment horizontal="center" vertical="top" wrapText="1"/>
    </xf>
    <xf numFmtId="0" fontId="7" fillId="0" borderId="0" xfId="0" applyFont="1"/>
    <xf numFmtId="0" fontId="5" fillId="0" borderId="0" xfId="0" applyFont="1"/>
    <xf numFmtId="0" fontId="12" fillId="0" borderId="0" xfId="0" applyFont="1"/>
    <xf numFmtId="0" fontId="55" fillId="0" borderId="0" xfId="0" applyFont="1" applyBorder="1"/>
    <xf numFmtId="43" fontId="56" fillId="0" borderId="0" xfId="0" applyNumberFormat="1" applyFont="1" applyFill="1" applyBorder="1" applyAlignment="1">
      <alignment horizontal="right" vertical="center" wrapText="1"/>
    </xf>
    <xf numFmtId="165" fontId="54" fillId="0" borderId="0" xfId="0" applyNumberFormat="1" applyFont="1"/>
    <xf numFmtId="165" fontId="6" fillId="0" borderId="4" xfId="0" applyNumberFormat="1" applyFont="1" applyBorder="1" applyAlignment="1">
      <alignment horizontal="right" vertical="top" wrapText="1"/>
    </xf>
    <xf numFmtId="167" fontId="5" fillId="0" borderId="0" xfId="0" applyNumberFormat="1" applyFont="1"/>
    <xf numFmtId="0" fontId="15" fillId="0" borderId="0" xfId="0" applyFont="1"/>
    <xf numFmtId="0" fontId="9" fillId="0" borderId="9" xfId="0" applyFont="1" applyBorder="1" applyAlignment="1">
      <alignment horizontal="left" vertical="top" wrapText="1" indent="1"/>
    </xf>
    <xf numFmtId="165" fontId="57" fillId="0" borderId="0" xfId="0" applyNumberFormat="1" applyFont="1"/>
    <xf numFmtId="167" fontId="15" fillId="0" borderId="0" xfId="0" applyNumberFormat="1" applyFont="1"/>
    <xf numFmtId="167" fontId="18" fillId="0" borderId="0" xfId="0" applyNumberFormat="1" applyFont="1" applyBorder="1"/>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43" fontId="12" fillId="0" borderId="7" xfId="12" applyFont="1" applyBorder="1" applyAlignment="1">
      <alignment horizontal="right" vertical="center" wrapText="1"/>
    </xf>
    <xf numFmtId="43" fontId="9" fillId="0" borderId="8" xfId="12" applyFont="1" applyBorder="1" applyAlignment="1">
      <alignment horizontal="right" vertical="center" wrapText="1"/>
    </xf>
    <xf numFmtId="43" fontId="12" fillId="0" borderId="8" xfId="12" applyFont="1" applyBorder="1" applyAlignment="1">
      <alignment horizontal="right" vertical="center" wrapText="1"/>
    </xf>
    <xf numFmtId="0" fontId="58" fillId="0" borderId="0" xfId="0" applyFont="1"/>
    <xf numFmtId="43" fontId="12" fillId="0" borderId="4" xfId="12" applyFont="1" applyBorder="1" applyAlignment="1">
      <alignment horizontal="right" vertical="center" wrapText="1"/>
    </xf>
    <xf numFmtId="43" fontId="9" fillId="0" borderId="9" xfId="12" applyFont="1" applyBorder="1" applyAlignment="1">
      <alignment horizontal="right" vertical="center" wrapText="1"/>
    </xf>
    <xf numFmtId="0" fontId="14" fillId="0" borderId="0" xfId="0" applyFont="1"/>
    <xf numFmtId="165" fontId="7" fillId="0" borderId="6" xfId="0" applyNumberFormat="1" applyFont="1" applyBorder="1" applyAlignment="1">
      <alignment vertical="center" wrapText="1"/>
    </xf>
    <xf numFmtId="0" fontId="16" fillId="0" borderId="0" xfId="0" applyFont="1" applyAlignment="1">
      <alignment horizontal="right"/>
    </xf>
    <xf numFmtId="165" fontId="16" fillId="0" borderId="0" xfId="0" applyNumberFormat="1" applyFont="1" applyAlignment="1">
      <alignment horizontal="right"/>
    </xf>
    <xf numFmtId="167" fontId="7" fillId="0" borderId="4"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horizontal="left" vertical="center" wrapText="1"/>
    </xf>
    <xf numFmtId="2" fontId="6" fillId="0" borderId="14" xfId="0" applyNumberFormat="1" applyFont="1" applyBorder="1" applyAlignment="1">
      <alignment horizontal="right" vertical="center" wrapText="1"/>
    </xf>
    <xf numFmtId="0" fontId="7" fillId="0" borderId="12" xfId="0" applyFont="1" applyBorder="1" applyAlignment="1">
      <alignment horizontal="center" vertical="center" wrapText="1"/>
    </xf>
    <xf numFmtId="0" fontId="7" fillId="0" borderId="12" xfId="0" applyFont="1" applyBorder="1" applyAlignment="1">
      <alignment horizontal="left" vertical="center" wrapText="1"/>
    </xf>
    <xf numFmtId="2" fontId="7" fillId="0" borderId="12" xfId="0" applyNumberFormat="1" applyFont="1" applyBorder="1" applyAlignment="1">
      <alignment horizontal="right" vertical="center" wrapText="1"/>
    </xf>
    <xf numFmtId="2" fontId="7" fillId="0" borderId="12" xfId="0" applyNumberFormat="1" applyFont="1" applyBorder="1" applyAlignment="1">
      <alignment horizontal="right" vertical="center"/>
    </xf>
    <xf numFmtId="0" fontId="8" fillId="0" borderId="12" xfId="0" applyFont="1" applyBorder="1" applyAlignment="1">
      <alignment horizontal="left" vertical="center" wrapText="1"/>
    </xf>
    <xf numFmtId="0" fontId="8"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left" vertical="center" wrapText="1"/>
    </xf>
    <xf numFmtId="2" fontId="6" fillId="0" borderId="12" xfId="0" applyNumberFormat="1" applyFont="1" applyBorder="1" applyAlignment="1">
      <alignment horizontal="right" vertical="center" wrapText="1"/>
    </xf>
    <xf numFmtId="43" fontId="7" fillId="0" borderId="16" xfId="16" applyFont="1" applyFill="1" applyBorder="1" applyAlignment="1">
      <alignment horizontal="right" vertical="center" wrapText="1"/>
    </xf>
    <xf numFmtId="0" fontId="6" fillId="0" borderId="1" xfId="32" applyFont="1" applyBorder="1" applyAlignment="1">
      <alignment horizontal="left" vertical="top" wrapText="1" indent="1"/>
    </xf>
    <xf numFmtId="0" fontId="6" fillId="0" borderId="1" xfId="32" applyFont="1" applyBorder="1" applyAlignment="1">
      <alignment vertical="top" wrapText="1"/>
    </xf>
    <xf numFmtId="0" fontId="7" fillId="0" borderId="1" xfId="32" applyFont="1" applyBorder="1" applyAlignment="1">
      <alignment horizontal="left" vertical="top" wrapText="1" indent="1"/>
    </xf>
    <xf numFmtId="0" fontId="9" fillId="0" borderId="1" xfId="32" applyFont="1" applyBorder="1" applyAlignment="1">
      <alignment vertical="top" wrapText="1"/>
    </xf>
    <xf numFmtId="0" fontId="7" fillId="0" borderId="1" xfId="32" applyFont="1" applyFill="1" applyBorder="1" applyAlignment="1">
      <alignment horizontal="left" vertical="top" wrapText="1" indent="1"/>
    </xf>
    <xf numFmtId="0" fontId="8" fillId="0" borderId="1" xfId="32" applyFont="1" applyBorder="1" applyAlignment="1">
      <alignment horizontal="left" vertical="top" wrapText="1" indent="1"/>
    </xf>
    <xf numFmtId="0" fontId="13" fillId="0" borderId="1" xfId="32" applyFont="1" applyBorder="1" applyAlignment="1">
      <alignment vertical="top" wrapText="1"/>
    </xf>
    <xf numFmtId="4" fontId="0" fillId="0" borderId="0" xfId="0" applyNumberFormat="1"/>
    <xf numFmtId="0" fontId="7" fillId="4" borderId="1" xfId="32" applyFont="1" applyFill="1" applyBorder="1" applyAlignment="1">
      <alignment horizontal="left" vertical="top" wrapText="1" indent="1"/>
    </xf>
    <xf numFmtId="43" fontId="7" fillId="4" borderId="16" xfId="16" applyFont="1" applyFill="1" applyBorder="1" applyAlignment="1">
      <alignment horizontal="right" vertical="center" wrapText="1"/>
    </xf>
    <xf numFmtId="166" fontId="7" fillId="0" borderId="6" xfId="0" applyNumberFormat="1" applyFont="1" applyBorder="1" applyAlignment="1">
      <alignment horizontal="center" vertical="center" wrapText="1"/>
    </xf>
    <xf numFmtId="167" fontId="6" fillId="0" borderId="6" xfId="0" applyNumberFormat="1" applyFont="1" applyBorder="1" applyAlignment="1">
      <alignment horizontal="center" vertical="center" wrapText="1"/>
    </xf>
    <xf numFmtId="0" fontId="5" fillId="0" borderId="0" xfId="0" applyFont="1" applyAlignment="1">
      <alignment horizontal="center" vertical="center"/>
    </xf>
    <xf numFmtId="0" fontId="9" fillId="4" borderId="1" xfId="32" applyFont="1" applyFill="1" applyBorder="1" applyAlignment="1">
      <alignment horizontal="center" vertical="center" wrapText="1"/>
    </xf>
    <xf numFmtId="0" fontId="23" fillId="0" borderId="0" xfId="0" applyFont="1" applyAlignment="1">
      <alignment horizontal="center" vertical="center"/>
    </xf>
    <xf numFmtId="0" fontId="12" fillId="0" borderId="7" xfId="0" applyFont="1" applyBorder="1" applyAlignment="1">
      <alignment horizontal="center" vertical="center" wrapText="1"/>
    </xf>
    <xf numFmtId="0" fontId="9" fillId="0" borderId="8" xfId="0" applyFont="1" applyBorder="1" applyAlignment="1">
      <alignment horizontal="center" vertical="center" wrapText="1"/>
    </xf>
    <xf numFmtId="0" fontId="0" fillId="0" borderId="0" xfId="0" applyAlignment="1">
      <alignment horizontal="center" vertical="center"/>
    </xf>
    <xf numFmtId="2" fontId="16" fillId="0" borderId="0" xfId="0" applyNumberFormat="1" applyFont="1"/>
    <xf numFmtId="43" fontId="9" fillId="0" borderId="1" xfId="12" applyFont="1" applyBorder="1" applyAlignment="1">
      <alignment horizontal="right" vertical="center" wrapText="1"/>
    </xf>
    <xf numFmtId="0" fontId="60" fillId="0" borderId="0" xfId="0" applyFont="1" applyAlignment="1">
      <alignment vertical="center"/>
    </xf>
    <xf numFmtId="0" fontId="59" fillId="0" borderId="0" xfId="0" applyFont="1" applyAlignment="1">
      <alignment vertical="center"/>
    </xf>
    <xf numFmtId="2" fontId="60" fillId="0" borderId="0" xfId="0" applyNumberFormat="1" applyFont="1" applyAlignment="1">
      <alignment vertical="center"/>
    </xf>
    <xf numFmtId="4" fontId="60" fillId="0" borderId="0" xfId="0" applyNumberFormat="1" applyFont="1" applyAlignment="1">
      <alignment vertical="center"/>
    </xf>
    <xf numFmtId="2" fontId="59" fillId="0" borderId="0" xfId="0" applyNumberFormat="1" applyFont="1" applyAlignment="1">
      <alignment vertical="center"/>
    </xf>
    <xf numFmtId="4" fontId="59" fillId="0" borderId="0" xfId="0" applyNumberFormat="1" applyFont="1" applyAlignment="1">
      <alignment vertical="center"/>
    </xf>
    <xf numFmtId="4" fontId="61" fillId="0" borderId="0" xfId="0" applyNumberFormat="1" applyFont="1" applyAlignment="1">
      <alignment vertical="center"/>
    </xf>
    <xf numFmtId="2" fontId="62" fillId="0" borderId="0" xfId="0" applyNumberFormat="1" applyFont="1" applyAlignment="1">
      <alignment vertical="center"/>
    </xf>
    <xf numFmtId="0" fontId="61" fillId="0" borderId="0" xfId="0" applyFont="1" applyAlignment="1">
      <alignment vertical="center"/>
    </xf>
    <xf numFmtId="164" fontId="59" fillId="0" borderId="0" xfId="0" applyNumberFormat="1" applyFont="1" applyAlignment="1">
      <alignment vertical="center"/>
    </xf>
    <xf numFmtId="43" fontId="0" fillId="0" borderId="0" xfId="0" applyNumberFormat="1"/>
    <xf numFmtId="0" fontId="12" fillId="0" borderId="19" xfId="0" applyFont="1" applyBorder="1" applyAlignment="1">
      <alignment horizontal="center" vertical="center" wrapText="1"/>
    </xf>
    <xf numFmtId="0" fontId="12" fillId="0" borderId="13" xfId="0" applyFont="1" applyBorder="1" applyAlignment="1">
      <alignment horizontal="center" vertical="center" wrapText="1"/>
    </xf>
    <xf numFmtId="165" fontId="6" fillId="0" borderId="7" xfId="0" applyNumberFormat="1" applyFont="1" applyBorder="1" applyAlignment="1">
      <alignment horizontal="right" vertical="top" wrapText="1" indent="1"/>
    </xf>
    <xf numFmtId="165" fontId="7" fillId="0" borderId="8" xfId="0" applyNumberFormat="1" applyFont="1" applyBorder="1" applyAlignment="1">
      <alignment horizontal="right" vertical="top" wrapText="1" indent="1"/>
    </xf>
    <xf numFmtId="165" fontId="8" fillId="0" borderId="8" xfId="0" applyNumberFormat="1" applyFont="1" applyBorder="1" applyAlignment="1">
      <alignment horizontal="right" vertical="top" wrapText="1" indent="1"/>
    </xf>
    <xf numFmtId="165" fontId="6" fillId="0" borderId="8" xfId="0" applyNumberFormat="1" applyFont="1" applyBorder="1" applyAlignment="1">
      <alignment horizontal="right" vertical="top" wrapText="1" indent="1"/>
    </xf>
    <xf numFmtId="43" fontId="12" fillId="0" borderId="7" xfId="0" applyNumberFormat="1" applyFont="1" applyBorder="1" applyAlignment="1">
      <alignment horizontal="left" vertical="top" wrapText="1" indent="1"/>
    </xf>
    <xf numFmtId="0" fontId="13" fillId="4" borderId="1" xfId="32" applyFont="1" applyFill="1" applyBorder="1" applyAlignment="1">
      <alignment horizontal="center" vertical="center" wrapText="1"/>
    </xf>
    <xf numFmtId="43" fontId="13" fillId="0" borderId="1" xfId="12" applyFont="1" applyBorder="1" applyAlignment="1">
      <alignment horizontal="right" vertical="center" wrapText="1"/>
    </xf>
    <xf numFmtId="43" fontId="8" fillId="0" borderId="16" xfId="16" applyFont="1" applyFill="1" applyBorder="1" applyAlignment="1">
      <alignment horizontal="right" vertical="center" wrapText="1"/>
    </xf>
    <xf numFmtId="0" fontId="66" fillId="0" borderId="0" xfId="32" applyFont="1"/>
    <xf numFmtId="0" fontId="8" fillId="0" borderId="1" xfId="32" applyFont="1" applyFill="1" applyBorder="1" applyAlignment="1">
      <alignment horizontal="left" vertical="top" wrapText="1" indent="1"/>
    </xf>
    <xf numFmtId="43" fontId="67" fillId="0" borderId="1" xfId="12" applyFont="1" applyBorder="1" applyAlignment="1">
      <alignment horizontal="right" vertical="center" wrapText="1"/>
    </xf>
    <xf numFmtId="0" fontId="4" fillId="4" borderId="0" xfId="0" applyFont="1" applyFill="1"/>
    <xf numFmtId="0" fontId="7" fillId="4" borderId="0" xfId="0" applyFont="1" applyFill="1" applyBorder="1" applyAlignment="1">
      <alignment horizontal="center" vertical="center" wrapText="1"/>
    </xf>
    <xf numFmtId="0" fontId="4" fillId="0" borderId="0" xfId="32" applyFont="1"/>
    <xf numFmtId="0" fontId="13" fillId="0" borderId="8" xfId="0" applyFont="1" applyBorder="1" applyAlignment="1">
      <alignment horizontal="center" vertical="center" wrapText="1"/>
    </xf>
    <xf numFmtId="43" fontId="24" fillId="0" borderId="7" xfId="0" applyNumberFormat="1" applyFont="1" applyBorder="1" applyAlignment="1">
      <alignment horizontal="left" vertical="top" wrapText="1" indent="1"/>
    </xf>
    <xf numFmtId="165" fontId="68" fillId="0" borderId="0" xfId="0" applyNumberFormat="1" applyFont="1"/>
    <xf numFmtId="0" fontId="66" fillId="0" borderId="0" xfId="0" applyFont="1"/>
    <xf numFmtId="43" fontId="69" fillId="0" borderId="0" xfId="0" applyNumberFormat="1" applyFont="1" applyFill="1" applyBorder="1" applyAlignment="1">
      <alignment horizontal="right" vertical="center" wrapText="1"/>
    </xf>
    <xf numFmtId="0" fontId="5" fillId="4" borderId="0" xfId="0" applyFont="1" applyFill="1" applyAlignment="1">
      <alignment horizontal="center"/>
    </xf>
    <xf numFmtId="0" fontId="5" fillId="4" borderId="0" xfId="0" applyFont="1" applyFill="1"/>
    <xf numFmtId="0" fontId="7" fillId="4" borderId="0" xfId="0" applyFont="1" applyFill="1" applyBorder="1"/>
    <xf numFmtId="0" fontId="7" fillId="4" borderId="0" xfId="0" applyFont="1" applyFill="1"/>
    <xf numFmtId="0" fontId="7" fillId="4" borderId="0" xfId="0" applyNumberFormat="1" applyFont="1" applyFill="1" applyBorder="1" applyAlignment="1">
      <alignment horizontal="center" vertical="center" wrapText="1"/>
    </xf>
    <xf numFmtId="167" fontId="10" fillId="4" borderId="0" xfId="0" applyNumberFormat="1" applyFont="1" applyFill="1" applyBorder="1" applyAlignment="1">
      <alignment horizontal="center" vertical="top" wrapText="1"/>
    </xf>
    <xf numFmtId="167" fontId="5" fillId="4" borderId="0" xfId="0" applyNumberFormat="1" applyFont="1" applyFill="1"/>
    <xf numFmtId="167" fontId="25" fillId="4" borderId="0" xfId="0" applyNumberFormat="1" applyFont="1" applyFill="1" applyBorder="1" applyAlignment="1">
      <alignment horizontal="center" vertical="top" wrapText="1"/>
    </xf>
    <xf numFmtId="167" fontId="15" fillId="4" borderId="0" xfId="0" applyNumberFormat="1" applyFont="1" applyFill="1"/>
    <xf numFmtId="0" fontId="12" fillId="4" borderId="0" xfId="0" applyFont="1" applyFill="1" applyBorder="1"/>
    <xf numFmtId="0" fontId="12" fillId="4" borderId="0" xfId="0" applyFont="1" applyFill="1"/>
    <xf numFmtId="165" fontId="7" fillId="4" borderId="6" xfId="0" applyNumberFormat="1" applyFont="1" applyFill="1" applyBorder="1" applyAlignment="1">
      <alignment horizontal="center" vertical="top" wrapText="1"/>
    </xf>
    <xf numFmtId="165" fontId="7" fillId="4" borderId="6" xfId="0" applyNumberFormat="1" applyFont="1" applyFill="1" applyBorder="1" applyAlignment="1">
      <alignment horizontal="right" vertical="center" wrapText="1"/>
    </xf>
    <xf numFmtId="165" fontId="7" fillId="4" borderId="6" xfId="0" applyNumberFormat="1" applyFont="1" applyFill="1" applyBorder="1" applyAlignment="1">
      <alignment horizontal="right" vertical="center"/>
    </xf>
    <xf numFmtId="165" fontId="7" fillId="4" borderId="29" xfId="0" applyNumberFormat="1" applyFont="1" applyFill="1" applyBorder="1" applyAlignment="1">
      <alignment horizontal="right" vertical="center" wrapText="1"/>
    </xf>
    <xf numFmtId="0" fontId="5" fillId="4" borderId="0" xfId="0" applyFont="1" applyFill="1" applyBorder="1"/>
    <xf numFmtId="165" fontId="8" fillId="4" borderId="6" xfId="0" applyNumberFormat="1" applyFont="1" applyFill="1" applyBorder="1" applyAlignment="1">
      <alignment horizontal="center" vertical="top" wrapText="1"/>
    </xf>
    <xf numFmtId="0" fontId="58" fillId="4" borderId="0" xfId="0" applyFont="1" applyFill="1" applyBorder="1"/>
    <xf numFmtId="0" fontId="58" fillId="4" borderId="0" xfId="0" applyFont="1" applyFill="1"/>
    <xf numFmtId="4" fontId="5" fillId="4" borderId="0" xfId="0" applyNumberFormat="1" applyFont="1" applyFill="1" applyBorder="1"/>
    <xf numFmtId="165" fontId="6" fillId="4" borderId="6" xfId="0" applyNumberFormat="1" applyFont="1" applyFill="1" applyBorder="1" applyAlignment="1">
      <alignment horizontal="center" vertical="top" wrapText="1"/>
    </xf>
    <xf numFmtId="0" fontId="15" fillId="4" borderId="0" xfId="0" applyFont="1" applyFill="1" applyBorder="1"/>
    <xf numFmtId="0" fontId="15" fillId="4" borderId="0" xfId="0" applyFont="1" applyFill="1"/>
    <xf numFmtId="43" fontId="22" fillId="0" borderId="0" xfId="0" applyNumberFormat="1" applyFont="1"/>
    <xf numFmtId="0" fontId="4" fillId="0" borderId="0" xfId="0" applyFont="1"/>
    <xf numFmtId="4" fontId="22" fillId="4" borderId="0" xfId="0" applyNumberFormat="1" applyFont="1" applyFill="1"/>
    <xf numFmtId="4" fontId="4" fillId="4" borderId="0" xfId="0" applyNumberFormat="1" applyFont="1" applyFill="1"/>
    <xf numFmtId="4" fontId="22" fillId="0" borderId="0" xfId="0" applyNumberFormat="1" applyFont="1"/>
    <xf numFmtId="2" fontId="4" fillId="0" borderId="0" xfId="0" applyNumberFormat="1" applyFont="1"/>
    <xf numFmtId="4" fontId="4" fillId="0" borderId="0" xfId="0" applyNumberFormat="1" applyFont="1"/>
    <xf numFmtId="0" fontId="4" fillId="0" borderId="0" xfId="0" applyFont="1" applyBorder="1" applyAlignment="1">
      <alignment horizontal="center" vertical="center"/>
    </xf>
    <xf numFmtId="165" fontId="0" fillId="0" borderId="0" xfId="0" applyNumberFormat="1"/>
    <xf numFmtId="165" fontId="7" fillId="0" borderId="4" xfId="0" applyNumberFormat="1" applyFont="1" applyFill="1" applyBorder="1" applyAlignment="1">
      <alignment horizontal="right" vertical="center" wrapText="1"/>
    </xf>
    <xf numFmtId="0" fontId="6" fillId="0" borderId="4" xfId="0" applyFont="1" applyBorder="1" applyAlignment="1">
      <alignment vertical="top" wrapText="1"/>
    </xf>
    <xf numFmtId="0" fontId="6" fillId="0" borderId="4" xfId="0" applyFont="1" applyBorder="1" applyAlignment="1">
      <alignment horizontal="left" vertical="top" wrapText="1"/>
    </xf>
    <xf numFmtId="165" fontId="14" fillId="0" borderId="4" xfId="0" applyNumberFormat="1" applyFont="1" applyBorder="1" applyAlignment="1">
      <alignment horizontal="right"/>
    </xf>
    <xf numFmtId="165" fontId="7" fillId="0" borderId="4" xfId="0" applyNumberFormat="1" applyFont="1" applyBorder="1" applyAlignment="1">
      <alignment horizontal="right" vertical="top" wrapText="1"/>
    </xf>
    <xf numFmtId="0" fontId="7" fillId="0" borderId="4" xfId="0" applyFont="1" applyBorder="1" applyAlignment="1">
      <alignment vertical="top" wrapText="1"/>
    </xf>
    <xf numFmtId="0" fontId="7" fillId="0" borderId="4" xfId="0" applyFont="1" applyBorder="1" applyAlignment="1">
      <alignment horizontal="left" vertical="top" wrapText="1"/>
    </xf>
    <xf numFmtId="2" fontId="7" fillId="0" borderId="4" xfId="0" applyNumberFormat="1" applyFont="1" applyBorder="1" applyAlignment="1">
      <alignment horizontal="left" vertical="top" wrapText="1"/>
    </xf>
    <xf numFmtId="0" fontId="66" fillId="0" borderId="0" xfId="95" applyFont="1"/>
    <xf numFmtId="43" fontId="8" fillId="0" borderId="16" xfId="96" applyFont="1" applyFill="1" applyBorder="1" applyAlignment="1">
      <alignment horizontal="right" vertical="center" wrapText="1"/>
    </xf>
    <xf numFmtId="0" fontId="13" fillId="0" borderId="1" xfId="95" applyFont="1" applyBorder="1" applyAlignment="1">
      <alignment vertical="top" wrapText="1"/>
    </xf>
    <xf numFmtId="0" fontId="13" fillId="4" borderId="1" xfId="95" applyFont="1" applyFill="1" applyBorder="1" applyAlignment="1">
      <alignment horizontal="center" vertical="center" wrapText="1"/>
    </xf>
    <xf numFmtId="0" fontId="8" fillId="0" borderId="4" xfId="0" applyFont="1" applyBorder="1" applyAlignment="1">
      <alignment vertical="top" wrapText="1"/>
    </xf>
    <xf numFmtId="167" fontId="6" fillId="0" borderId="4" xfId="0" applyNumberFormat="1" applyFont="1" applyBorder="1" applyAlignment="1">
      <alignment horizontal="center" vertical="top" wrapText="1"/>
    </xf>
    <xf numFmtId="167" fontId="6" fillId="0" borderId="4" xfId="0" applyNumberFormat="1" applyFont="1" applyBorder="1" applyAlignment="1">
      <alignment horizontal="left" vertical="top" wrapText="1" indent="1"/>
    </xf>
    <xf numFmtId="165" fontId="6" fillId="0" borderId="4" xfId="0" applyNumberFormat="1" applyFont="1" applyFill="1" applyBorder="1" applyAlignment="1">
      <alignment horizontal="right" vertical="center" wrapText="1"/>
    </xf>
    <xf numFmtId="165" fontId="7" fillId="0" borderId="4" xfId="0" applyNumberFormat="1" applyFont="1" applyFill="1" applyBorder="1" applyAlignment="1">
      <alignment horizontal="right" vertical="center"/>
    </xf>
    <xf numFmtId="165" fontId="7" fillId="0" borderId="4" xfId="15" applyNumberFormat="1" applyFont="1" applyFill="1" applyBorder="1" applyAlignment="1">
      <alignment horizontal="right" wrapText="1"/>
    </xf>
    <xf numFmtId="165" fontId="7" fillId="0" borderId="4" xfId="12" applyNumberFormat="1" applyFont="1" applyFill="1" applyBorder="1" applyAlignment="1">
      <alignment horizontal="right" vertical="center" wrapText="1"/>
    </xf>
    <xf numFmtId="165" fontId="7" fillId="0" borderId="4" xfId="0" applyNumberFormat="1" applyFont="1" applyBorder="1" applyAlignment="1">
      <alignment horizontal="right" vertical="center"/>
    </xf>
    <xf numFmtId="165" fontId="21" fillId="0" borderId="4" xfId="0" applyNumberFormat="1" applyFont="1" applyFill="1" applyBorder="1" applyAlignment="1">
      <alignment horizontal="right" vertical="center" wrapText="1"/>
    </xf>
    <xf numFmtId="0" fontId="6" fillId="0" borderId="0" xfId="0" applyFont="1"/>
    <xf numFmtId="0" fontId="7" fillId="6" borderId="34" xfId="0" applyFont="1" applyFill="1" applyBorder="1" applyAlignment="1">
      <alignment horizontal="right" vertical="center" wrapText="1"/>
    </xf>
    <xf numFmtId="0" fontId="71" fillId="0" borderId="4" xfId="0" applyFont="1" applyBorder="1"/>
    <xf numFmtId="43" fontId="71" fillId="0" borderId="4" xfId="0" applyNumberFormat="1" applyFont="1" applyBorder="1"/>
    <xf numFmtId="2" fontId="72" fillId="0" borderId="4" xfId="0" applyNumberFormat="1" applyFont="1" applyBorder="1"/>
    <xf numFmtId="43" fontId="72" fillId="0" borderId="4" xfId="0" applyNumberFormat="1" applyFont="1" applyBorder="1"/>
    <xf numFmtId="0" fontId="71" fillId="0" borderId="4" xfId="95" applyFont="1" applyBorder="1" applyAlignment="1">
      <alignment vertical="top" wrapText="1"/>
    </xf>
    <xf numFmtId="0" fontId="7" fillId="0" borderId="34" xfId="0" applyFont="1" applyBorder="1" applyAlignment="1">
      <alignment horizontal="right" vertical="center"/>
    </xf>
    <xf numFmtId="0" fontId="22" fillId="0" borderId="0" xfId="0" applyFont="1" applyAlignment="1">
      <alignment horizontal="center"/>
    </xf>
    <xf numFmtId="0" fontId="72" fillId="0" borderId="0" xfId="0" applyFont="1"/>
    <xf numFmtId="2" fontId="71" fillId="0" borderId="4" xfId="0" applyNumberFormat="1" applyFont="1" applyBorder="1"/>
    <xf numFmtId="0" fontId="71" fillId="0" borderId="0" xfId="0" applyFont="1"/>
    <xf numFmtId="0" fontId="73" fillId="0" borderId="32" xfId="0" applyFont="1" applyBorder="1" applyAlignment="1">
      <alignment horizontal="center" vertical="center" wrapText="1"/>
    </xf>
    <xf numFmtId="2" fontId="74" fillId="0" borderId="34" xfId="0" applyNumberFormat="1" applyFont="1" applyBorder="1" applyAlignment="1">
      <alignment horizontal="right" vertical="center"/>
    </xf>
    <xf numFmtId="4" fontId="73" fillId="0" borderId="34" xfId="0" applyNumberFormat="1" applyFont="1" applyBorder="1" applyAlignment="1">
      <alignment horizontal="right" vertical="center"/>
    </xf>
    <xf numFmtId="0" fontId="6" fillId="0" borderId="38" xfId="0" applyFont="1" applyBorder="1" applyAlignment="1">
      <alignment horizontal="center" vertical="center" wrapText="1"/>
    </xf>
    <xf numFmtId="0" fontId="6" fillId="0" borderId="34" xfId="0" applyFont="1" applyBorder="1" applyAlignment="1">
      <alignment horizontal="center" vertical="center" wrapText="1"/>
    </xf>
    <xf numFmtId="0" fontId="7" fillId="0" borderId="34" xfId="0" applyFont="1" applyBorder="1" applyAlignment="1">
      <alignment vertical="center" wrapText="1"/>
    </xf>
    <xf numFmtId="0" fontId="7" fillId="0" borderId="34" xfId="0" applyFont="1" applyBorder="1" applyAlignment="1">
      <alignment horizontal="right" vertical="center" wrapText="1"/>
    </xf>
    <xf numFmtId="0" fontId="7" fillId="0" borderId="34" xfId="0" applyFont="1" applyBorder="1" applyAlignment="1">
      <alignment horizontal="justify" vertical="center" wrapText="1"/>
    </xf>
    <xf numFmtId="0" fontId="8" fillId="0" borderId="34" xfId="0" applyFont="1" applyBorder="1" applyAlignment="1">
      <alignment horizontal="right" vertical="center" wrapText="1"/>
    </xf>
    <xf numFmtId="0" fontId="8" fillId="0" borderId="34" xfId="0" applyFont="1" applyBorder="1" applyAlignment="1">
      <alignment vertical="center" wrapText="1"/>
    </xf>
    <xf numFmtId="0" fontId="7" fillId="0" borderId="34" xfId="0" applyFont="1" applyBorder="1" applyAlignment="1">
      <alignment horizontal="center" vertical="center" wrapText="1"/>
    </xf>
    <xf numFmtId="0" fontId="8" fillId="0" borderId="34" xfId="0" applyFont="1" applyBorder="1" applyAlignment="1">
      <alignment horizontal="center" vertical="center" wrapText="1"/>
    </xf>
    <xf numFmtId="0" fontId="7" fillId="0" borderId="33" xfId="0" applyFont="1" applyBorder="1" applyAlignment="1">
      <alignment horizontal="center" vertical="center" wrapText="1"/>
    </xf>
    <xf numFmtId="3" fontId="7" fillId="0" borderId="34" xfId="0" applyNumberFormat="1" applyFont="1" applyBorder="1" applyAlignment="1">
      <alignment horizontal="right" vertical="center" wrapText="1"/>
    </xf>
    <xf numFmtId="0" fontId="73" fillId="0" borderId="31" xfId="0" applyFont="1" applyBorder="1"/>
    <xf numFmtId="0" fontId="73" fillId="0" borderId="32" xfId="0" applyFont="1" applyBorder="1" applyAlignment="1">
      <alignment vertical="center"/>
    </xf>
    <xf numFmtId="0" fontId="73" fillId="0" borderId="33" xfId="0" applyFont="1" applyBorder="1" applyAlignment="1">
      <alignment vertical="center"/>
    </xf>
    <xf numFmtId="0" fontId="74" fillId="0" borderId="33" xfId="0" applyFont="1" applyBorder="1" applyAlignment="1">
      <alignment vertical="center"/>
    </xf>
    <xf numFmtId="0" fontId="73" fillId="0" borderId="33" xfId="0" applyFont="1" applyBorder="1" applyAlignment="1">
      <alignment horizontal="center" vertical="center"/>
    </xf>
    <xf numFmtId="0" fontId="73" fillId="0" borderId="34" xfId="0" applyFont="1" applyBorder="1" applyAlignment="1">
      <alignment vertical="center"/>
    </xf>
    <xf numFmtId="0" fontId="73" fillId="0" borderId="34" xfId="0" applyFont="1" applyBorder="1" applyAlignment="1">
      <alignment horizontal="right" vertical="center"/>
    </xf>
    <xf numFmtId="4" fontId="74" fillId="0" borderId="34" xfId="0" applyNumberFormat="1" applyFont="1" applyBorder="1" applyAlignment="1">
      <alignment horizontal="right" vertical="center"/>
    </xf>
    <xf numFmtId="2" fontId="73" fillId="0" borderId="34" xfId="0" applyNumberFormat="1" applyFont="1" applyBorder="1" applyAlignment="1">
      <alignment vertical="center"/>
    </xf>
    <xf numFmtId="0" fontId="73" fillId="0" borderId="32" xfId="0" applyFont="1" applyBorder="1" applyAlignment="1">
      <alignment vertical="center" wrapText="1"/>
    </xf>
    <xf numFmtId="0" fontId="73" fillId="0" borderId="31" xfId="0" applyFont="1" applyBorder="1" applyAlignment="1">
      <alignment vertical="center"/>
    </xf>
    <xf numFmtId="2" fontId="74" fillId="0" borderId="34" xfId="0" applyNumberFormat="1" applyFont="1" applyBorder="1" applyAlignment="1">
      <alignment vertical="center"/>
    </xf>
    <xf numFmtId="0" fontId="73" fillId="0" borderId="36" xfId="0" applyFont="1" applyBorder="1" applyAlignment="1">
      <alignment horizontal="center" vertical="center"/>
    </xf>
    <xf numFmtId="0" fontId="73" fillId="0" borderId="32" xfId="0" applyFont="1" applyBorder="1" applyAlignment="1">
      <alignment horizontal="center" vertical="center"/>
    </xf>
    <xf numFmtId="0" fontId="73" fillId="0" borderId="4" xfId="0" applyFont="1" applyBorder="1" applyAlignment="1">
      <alignment horizontal="center" vertical="center"/>
    </xf>
    <xf numFmtId="0" fontId="73" fillId="0" borderId="4" xfId="0" applyFont="1" applyBorder="1" applyAlignment="1">
      <alignment horizontal="center" vertical="center" wrapText="1"/>
    </xf>
    <xf numFmtId="0" fontId="74" fillId="0" borderId="4" xfId="0" applyFont="1" applyBorder="1" applyAlignment="1">
      <alignment horizontal="center" vertical="center"/>
    </xf>
    <xf numFmtId="0" fontId="74" fillId="0" borderId="4" xfId="0" applyFont="1" applyBorder="1" applyAlignment="1">
      <alignment vertical="center"/>
    </xf>
    <xf numFmtId="43" fontId="74" fillId="0" borderId="4" xfId="12" applyFont="1" applyBorder="1" applyAlignment="1">
      <alignment horizontal="right" vertical="center" wrapText="1"/>
    </xf>
    <xf numFmtId="2" fontId="74" fillId="0" borderId="4" xfId="0" applyNumberFormat="1" applyFont="1" applyBorder="1" applyAlignment="1">
      <alignment horizontal="right" vertical="center"/>
    </xf>
    <xf numFmtId="2" fontId="74" fillId="4" borderId="4" xfId="0" applyNumberFormat="1" applyFont="1" applyFill="1" applyBorder="1" applyAlignment="1">
      <alignment horizontal="right" vertical="center"/>
    </xf>
    <xf numFmtId="4" fontId="73" fillId="0" borderId="4" xfId="0" applyNumberFormat="1" applyFont="1" applyBorder="1" applyAlignment="1">
      <alignment horizontal="right" vertical="center"/>
    </xf>
    <xf numFmtId="43" fontId="16" fillId="0" borderId="0" xfId="0" applyNumberFormat="1" applyFont="1"/>
    <xf numFmtId="167" fontId="12" fillId="0" borderId="19" xfId="0" applyNumberFormat="1" applyFont="1" applyBorder="1" applyAlignment="1">
      <alignment horizontal="center" vertical="center" wrapText="1"/>
    </xf>
    <xf numFmtId="167" fontId="12" fillId="0" borderId="19" xfId="0" applyNumberFormat="1" applyFont="1" applyBorder="1" applyAlignment="1">
      <alignment horizontal="center" vertical="top" wrapText="1"/>
    </xf>
    <xf numFmtId="165" fontId="6" fillId="0" borderId="19" xfId="0" applyNumberFormat="1" applyFont="1" applyBorder="1" applyAlignment="1">
      <alignment horizontal="right" vertical="top" wrapText="1"/>
    </xf>
    <xf numFmtId="43" fontId="12" fillId="0" borderId="19" xfId="12" applyFont="1" applyBorder="1" applyAlignment="1">
      <alignment horizontal="right" vertical="center" wrapText="1"/>
    </xf>
    <xf numFmtId="167" fontId="76" fillId="0" borderId="4" xfId="0" applyNumberFormat="1" applyFont="1" applyBorder="1" applyAlignment="1">
      <alignment horizontal="center" vertical="center" wrapText="1"/>
    </xf>
    <xf numFmtId="0" fontId="76" fillId="0" borderId="4" xfId="0" applyFont="1" applyBorder="1" applyAlignment="1">
      <alignment horizontal="center" vertical="center" wrapText="1"/>
    </xf>
    <xf numFmtId="4" fontId="75" fillId="0" borderId="4" xfId="0" applyNumberFormat="1" applyFont="1" applyBorder="1" applyAlignment="1">
      <alignment horizontal="right" vertical="center" wrapText="1"/>
    </xf>
    <xf numFmtId="4" fontId="75" fillId="0" borderId="4" xfId="12" applyNumberFormat="1" applyFont="1" applyBorder="1" applyAlignment="1">
      <alignment horizontal="right" vertical="center" wrapText="1"/>
    </xf>
    <xf numFmtId="0" fontId="75" fillId="0" borderId="4" xfId="0" applyFont="1" applyBorder="1" applyAlignment="1">
      <alignment horizontal="left" vertical="center" wrapText="1"/>
    </xf>
    <xf numFmtId="4" fontId="75" fillId="0" borderId="4" xfId="0" applyNumberFormat="1" applyFont="1" applyBorder="1" applyAlignment="1">
      <alignment horizontal="right" vertical="center"/>
    </xf>
    <xf numFmtId="0" fontId="74" fillId="0" borderId="4" xfId="0" applyFont="1" applyBorder="1" applyAlignment="1">
      <alignment vertical="center" wrapText="1"/>
    </xf>
    <xf numFmtId="4" fontId="76" fillId="0" borderId="4" xfId="0" applyNumberFormat="1" applyFont="1" applyBorder="1" applyAlignment="1">
      <alignment horizontal="right" vertical="center"/>
    </xf>
    <xf numFmtId="4" fontId="76" fillId="0" borderId="4" xfId="0" applyNumberFormat="1" applyFont="1" applyBorder="1" applyAlignment="1">
      <alignment horizontal="right" vertical="center" wrapText="1"/>
    </xf>
    <xf numFmtId="4" fontId="76" fillId="0" borderId="4" xfId="12" applyNumberFormat="1" applyFont="1" applyBorder="1" applyAlignment="1">
      <alignment horizontal="right" vertical="center" wrapText="1"/>
    </xf>
    <xf numFmtId="0" fontId="77" fillId="0" borderId="4" xfId="0" applyFont="1" applyBorder="1" applyAlignment="1">
      <alignment horizontal="center" vertical="center" wrapText="1"/>
    </xf>
    <xf numFmtId="0" fontId="78" fillId="0" borderId="4" xfId="0" applyFont="1" applyBorder="1" applyAlignment="1">
      <alignment vertical="center" wrapText="1"/>
    </xf>
    <xf numFmtId="4" fontId="77" fillId="0" borderId="4" xfId="0" applyNumberFormat="1" applyFont="1" applyBorder="1" applyAlignment="1">
      <alignment horizontal="right" vertical="center"/>
    </xf>
    <xf numFmtId="4" fontId="77" fillId="0" borderId="4" xfId="0" applyNumberFormat="1" applyFont="1" applyBorder="1" applyAlignment="1">
      <alignment horizontal="right" vertical="center" wrapText="1"/>
    </xf>
    <xf numFmtId="4" fontId="77" fillId="0" borderId="4" xfId="12" applyNumberFormat="1" applyFont="1" applyBorder="1" applyAlignment="1">
      <alignment horizontal="right" vertical="center" wrapText="1"/>
    </xf>
    <xf numFmtId="0" fontId="73" fillId="0" borderId="4" xfId="0" applyFont="1" applyBorder="1" applyAlignment="1">
      <alignment vertical="center" wrapText="1"/>
    </xf>
    <xf numFmtId="0" fontId="74" fillId="0" borderId="4" xfId="47" applyFont="1" applyBorder="1" applyAlignment="1">
      <alignment vertical="center" wrapText="1"/>
    </xf>
    <xf numFmtId="0" fontId="74" fillId="0" borderId="4" xfId="47" applyFont="1" applyBorder="1" applyAlignment="1">
      <alignment horizontal="center" vertical="center" wrapText="1"/>
    </xf>
    <xf numFmtId="0" fontId="75" fillId="0" borderId="4" xfId="0" applyFont="1" applyBorder="1" applyAlignment="1">
      <alignment horizontal="center" vertical="center" wrapText="1"/>
    </xf>
    <xf numFmtId="0" fontId="8" fillId="0" borderId="1" xfId="32" applyFont="1" applyBorder="1" applyAlignment="1">
      <alignment horizontal="center" vertical="center" wrapText="1"/>
    </xf>
    <xf numFmtId="0" fontId="76" fillId="0" borderId="4" xfId="0" applyFont="1" applyBorder="1" applyAlignment="1">
      <alignment horizontal="left" vertical="center" wrapText="1"/>
    </xf>
    <xf numFmtId="0" fontId="75" fillId="0" borderId="0" xfId="0" applyFont="1" applyAlignment="1">
      <alignment vertical="center"/>
    </xf>
    <xf numFmtId="0" fontId="76" fillId="0" borderId="0" xfId="0" applyFont="1" applyAlignment="1">
      <alignment vertical="center"/>
    </xf>
    <xf numFmtId="0" fontId="76" fillId="0" borderId="4" xfId="0" applyFont="1" applyBorder="1" applyAlignment="1">
      <alignment vertical="center"/>
    </xf>
    <xf numFmtId="0" fontId="75" fillId="0" borderId="4" xfId="0" applyFont="1" applyBorder="1" applyAlignment="1">
      <alignment vertical="center"/>
    </xf>
    <xf numFmtId="43" fontId="12" fillId="0" borderId="35" xfId="0" applyNumberFormat="1" applyFont="1" applyBorder="1" applyAlignment="1">
      <alignment horizontal="left" vertical="top" wrapText="1" indent="1"/>
    </xf>
    <xf numFmtId="43" fontId="24" fillId="0" borderId="35" xfId="0" applyNumberFormat="1" applyFont="1" applyBorder="1" applyAlignment="1">
      <alignment horizontal="left" vertical="top" wrapText="1" indent="1"/>
    </xf>
    <xf numFmtId="43" fontId="13" fillId="0" borderId="20" xfId="12" applyFont="1" applyBorder="1" applyAlignment="1">
      <alignment horizontal="right" vertical="center" wrapText="1"/>
    </xf>
    <xf numFmtId="43" fontId="79" fillId="0" borderId="0" xfId="0" applyNumberFormat="1" applyFont="1"/>
    <xf numFmtId="0" fontId="80" fillId="0" borderId="0" xfId="0" applyFont="1" applyBorder="1"/>
    <xf numFmtId="43" fontId="9" fillId="0" borderId="7" xfId="0" applyNumberFormat="1" applyFont="1" applyBorder="1" applyAlignment="1">
      <alignment horizontal="left" vertical="top" wrapText="1" indent="1"/>
    </xf>
    <xf numFmtId="43" fontId="9" fillId="0" borderId="35" xfId="0" applyNumberFormat="1" applyFont="1" applyBorder="1" applyAlignment="1">
      <alignment horizontal="left" vertical="top" wrapText="1" indent="1"/>
    </xf>
    <xf numFmtId="43" fontId="4" fillId="0" borderId="0" xfId="0" applyNumberFormat="1" applyFont="1"/>
    <xf numFmtId="43" fontId="81" fillId="0" borderId="1" xfId="12" applyFont="1" applyBorder="1" applyAlignment="1">
      <alignment horizontal="right" vertical="center" wrapText="1"/>
    </xf>
    <xf numFmtId="43" fontId="9" fillId="0" borderId="20" xfId="12" applyFont="1" applyBorder="1" applyAlignment="1">
      <alignment horizontal="right" vertical="center" wrapText="1"/>
    </xf>
    <xf numFmtId="0" fontId="68" fillId="0" borderId="0" xfId="0" applyFont="1"/>
    <xf numFmtId="167" fontId="12" fillId="0" borderId="19" xfId="0" applyNumberFormat="1" applyFont="1" applyBorder="1" applyAlignment="1">
      <alignment horizontal="left" vertical="top" wrapText="1"/>
    </xf>
    <xf numFmtId="0" fontId="12" fillId="0" borderId="40" xfId="0" applyFont="1" applyBorder="1" applyAlignment="1">
      <alignment horizontal="center" vertical="center" wrapText="1"/>
    </xf>
    <xf numFmtId="0" fontId="12" fillId="0" borderId="40" xfId="0" applyFont="1" applyBorder="1" applyAlignment="1">
      <alignment vertical="top" wrapText="1"/>
    </xf>
    <xf numFmtId="0" fontId="9" fillId="0" borderId="40" xfId="0" applyFont="1" applyBorder="1" applyAlignment="1">
      <alignment horizontal="left" vertical="top" wrapText="1" indent="1"/>
    </xf>
    <xf numFmtId="43" fontId="9" fillId="0" borderId="40" xfId="12" applyFont="1" applyBorder="1" applyAlignment="1">
      <alignment horizontal="right" vertical="center" wrapText="1"/>
    </xf>
    <xf numFmtId="0" fontId="12" fillId="0" borderId="20" xfId="0" applyFont="1" applyFill="1" applyBorder="1" applyAlignment="1">
      <alignment vertical="top" wrapText="1"/>
    </xf>
    <xf numFmtId="0" fontId="7" fillId="0" borderId="0" xfId="0" applyFont="1" applyAlignment="1">
      <alignment horizontal="left"/>
    </xf>
    <xf numFmtId="0" fontId="7" fillId="0" borderId="21" xfId="0" applyFont="1" applyBorder="1" applyAlignment="1">
      <alignment horizontal="center" vertical="center" wrapText="1"/>
    </xf>
    <xf numFmtId="0" fontId="7" fillId="0" borderId="21" xfId="0" applyFont="1" applyBorder="1" applyAlignment="1">
      <alignment horizontal="left" vertical="center" wrapText="1"/>
    </xf>
    <xf numFmtId="2" fontId="7" fillId="0" borderId="21" xfId="0" applyNumberFormat="1" applyFont="1" applyBorder="1" applyAlignment="1">
      <alignment horizontal="right" vertical="center" wrapText="1"/>
    </xf>
    <xf numFmtId="2" fontId="7" fillId="0" borderId="21" xfId="0" applyNumberFormat="1" applyFont="1" applyBorder="1" applyAlignment="1">
      <alignment horizontal="right" vertical="center"/>
    </xf>
    <xf numFmtId="0" fontId="6" fillId="0" borderId="4" xfId="48" applyFont="1" applyFill="1" applyBorder="1" applyAlignment="1">
      <alignment horizontal="center" vertical="center" wrapText="1"/>
    </xf>
    <xf numFmtId="0" fontId="7" fillId="0" borderId="1" xfId="0" applyFont="1" applyBorder="1"/>
    <xf numFmtId="0" fontId="7" fillId="0" borderId="17" xfId="0" applyFont="1" applyBorder="1"/>
    <xf numFmtId="0" fontId="6" fillId="0" borderId="17" xfId="0" applyFont="1" applyBorder="1"/>
    <xf numFmtId="2" fontId="8" fillId="0" borderId="12" xfId="0" applyNumberFormat="1" applyFont="1" applyBorder="1" applyAlignment="1">
      <alignment horizontal="right" vertical="center" wrapText="1"/>
    </xf>
    <xf numFmtId="2" fontId="8" fillId="0" borderId="12" xfId="0" applyNumberFormat="1" applyFont="1" applyBorder="1" applyAlignment="1">
      <alignment horizontal="right" vertical="center"/>
    </xf>
    <xf numFmtId="166" fontId="7" fillId="0" borderId="41" xfId="0" applyNumberFormat="1" applyFont="1" applyBorder="1" applyAlignment="1">
      <alignment horizontal="center" vertical="center" wrapText="1"/>
    </xf>
    <xf numFmtId="165" fontId="7" fillId="0" borderId="41" xfId="0" applyNumberFormat="1" applyFont="1" applyBorder="1" applyAlignment="1">
      <alignment vertical="top" wrapText="1"/>
    </xf>
    <xf numFmtId="165" fontId="7" fillId="4" borderId="41" xfId="0" applyNumberFormat="1" applyFont="1" applyFill="1" applyBorder="1" applyAlignment="1">
      <alignment horizontal="center" vertical="top" wrapText="1"/>
    </xf>
    <xf numFmtId="165" fontId="7" fillId="4" borderId="6" xfId="0" applyNumberFormat="1" applyFont="1" applyFill="1" applyBorder="1" applyAlignment="1">
      <alignment horizontal="right"/>
    </xf>
    <xf numFmtId="0" fontId="7" fillId="4" borderId="0" xfId="0" applyFont="1" applyFill="1" applyAlignment="1">
      <alignment horizontal="center"/>
    </xf>
    <xf numFmtId="0" fontId="6" fillId="4" borderId="4" xfId="48" applyFont="1" applyFill="1" applyBorder="1" applyAlignment="1">
      <alignment horizontal="center" vertical="center" wrapText="1"/>
    </xf>
    <xf numFmtId="0" fontId="6" fillId="4" borderId="4" xfId="48" applyFont="1" applyFill="1" applyBorder="1" applyAlignment="1">
      <alignment horizontal="center" vertical="center"/>
    </xf>
    <xf numFmtId="167" fontId="7" fillId="0" borderId="11" xfId="0" applyNumberFormat="1" applyFont="1" applyBorder="1" applyAlignment="1">
      <alignment horizontal="center" vertical="center" wrapText="1"/>
    </xf>
    <xf numFmtId="167" fontId="7" fillId="0" borderId="11" xfId="0" applyNumberFormat="1" applyFont="1" applyBorder="1" applyAlignment="1">
      <alignment horizontal="center" vertical="top" wrapText="1"/>
    </xf>
    <xf numFmtId="167" fontId="7" fillId="4" borderId="11" xfId="0" applyNumberFormat="1" applyFont="1" applyFill="1" applyBorder="1" applyAlignment="1">
      <alignment horizontal="center" vertical="top" wrapText="1"/>
    </xf>
    <xf numFmtId="167" fontId="7" fillId="4" borderId="27" xfId="0" applyNumberFormat="1" applyFont="1" applyFill="1" applyBorder="1" applyAlignment="1">
      <alignment vertical="top" wrapText="1"/>
    </xf>
    <xf numFmtId="167" fontId="7" fillId="4" borderId="27" xfId="0" applyNumberFormat="1" applyFont="1" applyFill="1" applyBorder="1" applyAlignment="1">
      <alignment horizontal="center" vertical="top" wrapText="1"/>
    </xf>
    <xf numFmtId="165" fontId="6" fillId="0" borderId="10" xfId="0" applyNumberFormat="1" applyFont="1" applyBorder="1" applyAlignment="1">
      <alignment horizontal="center" vertical="center" wrapText="1"/>
    </xf>
    <xf numFmtId="165" fontId="6" fillId="4" borderId="10" xfId="0" applyNumberFormat="1" applyFont="1" applyFill="1" applyBorder="1" applyAlignment="1">
      <alignment horizontal="center" vertical="top" wrapText="1"/>
    </xf>
    <xf numFmtId="4" fontId="6" fillId="4" borderId="30" xfId="0" applyNumberFormat="1" applyFont="1" applyFill="1" applyBorder="1" applyAlignment="1">
      <alignment horizontal="right" vertical="center" wrapText="1"/>
    </xf>
    <xf numFmtId="4" fontId="6" fillId="4" borderId="6" xfId="0" applyNumberFormat="1" applyFont="1" applyFill="1" applyBorder="1" applyAlignment="1">
      <alignment horizontal="right" vertical="center" wrapText="1"/>
    </xf>
    <xf numFmtId="4" fontId="7" fillId="4" borderId="6" xfId="0" applyNumberFormat="1" applyFont="1" applyFill="1" applyBorder="1" applyAlignment="1">
      <alignment horizontal="right" vertical="center" wrapText="1"/>
    </xf>
    <xf numFmtId="4" fontId="7" fillId="4" borderId="6" xfId="0" applyNumberFormat="1" applyFont="1" applyFill="1" applyBorder="1"/>
    <xf numFmtId="4" fontId="7" fillId="4" borderId="41" xfId="0" applyNumberFormat="1" applyFont="1" applyFill="1" applyBorder="1" applyAlignment="1">
      <alignment horizontal="right" vertical="center" wrapText="1"/>
    </xf>
    <xf numFmtId="0" fontId="7" fillId="0" borderId="1" xfId="0" applyFont="1" applyBorder="1" applyAlignment="1">
      <alignment horizontal="center" vertical="center"/>
    </xf>
    <xf numFmtId="0" fontId="7" fillId="4" borderId="1" xfId="0" applyFont="1" applyFill="1" applyBorder="1" applyAlignment="1">
      <alignment horizontal="center"/>
    </xf>
    <xf numFmtId="0" fontId="7" fillId="4" borderId="1" xfId="0" applyFont="1" applyFill="1" applyBorder="1"/>
    <xf numFmtId="4" fontId="7" fillId="4" borderId="1" xfId="0" applyNumberFormat="1" applyFont="1" applyFill="1" applyBorder="1"/>
    <xf numFmtId="165" fontId="7" fillId="4" borderId="1" xfId="0" applyNumberFormat="1" applyFont="1" applyFill="1" applyBorder="1"/>
    <xf numFmtId="0" fontId="7" fillId="0" borderId="17" xfId="0" applyFont="1" applyBorder="1" applyAlignment="1">
      <alignment horizontal="center" vertical="center"/>
    </xf>
    <xf numFmtId="0" fontId="7" fillId="4" borderId="17" xfId="0" applyFont="1" applyFill="1" applyBorder="1" applyAlignment="1">
      <alignment horizontal="center"/>
    </xf>
    <xf numFmtId="0" fontId="7" fillId="4" borderId="17" xfId="0" applyFont="1" applyFill="1" applyBorder="1"/>
    <xf numFmtId="0" fontId="14" fillId="0" borderId="0" xfId="95" applyFont="1"/>
    <xf numFmtId="0" fontId="21" fillId="6" borderId="4" xfId="95" applyFont="1" applyFill="1" applyBorder="1" applyAlignment="1">
      <alignment horizontal="center" vertical="center" wrapText="1"/>
    </xf>
    <xf numFmtId="0" fontId="21" fillId="6" borderId="4" xfId="95" applyFont="1" applyFill="1" applyBorder="1" applyAlignment="1">
      <alignment horizontal="justify" vertical="center" wrapText="1"/>
    </xf>
    <xf numFmtId="0" fontId="7" fillId="6" borderId="4" xfId="95" applyFont="1" applyFill="1" applyBorder="1" applyAlignment="1">
      <alignment horizontal="justify" vertical="center" wrapText="1"/>
    </xf>
    <xf numFmtId="0" fontId="14" fillId="0" borderId="0" xfId="95" applyFont="1" applyFill="1"/>
    <xf numFmtId="0" fontId="99" fillId="0" borderId="0" xfId="95" applyFont="1" applyFill="1"/>
    <xf numFmtId="0" fontId="6" fillId="6" borderId="4" xfId="95" applyFont="1" applyFill="1" applyBorder="1" applyAlignment="1">
      <alignment horizontal="justify" vertical="center" wrapText="1"/>
    </xf>
    <xf numFmtId="0" fontId="14" fillId="0" borderId="0" xfId="95" applyFont="1" applyAlignment="1">
      <alignment horizontal="center"/>
    </xf>
    <xf numFmtId="0" fontId="99" fillId="0" borderId="0" xfId="95" applyFont="1"/>
    <xf numFmtId="4" fontId="76" fillId="0" borderId="4" xfId="0" applyNumberFormat="1" applyFont="1" applyBorder="1" applyAlignment="1">
      <alignment vertical="center"/>
    </xf>
    <xf numFmtId="4" fontId="75" fillId="0" borderId="4" xfId="0" applyNumberFormat="1" applyFont="1" applyBorder="1" applyAlignment="1">
      <alignment vertical="center"/>
    </xf>
    <xf numFmtId="43" fontId="60" fillId="0" borderId="0" xfId="12" applyNumberFormat="1" applyFont="1" applyAlignment="1">
      <alignment vertical="center"/>
    </xf>
    <xf numFmtId="43" fontId="60" fillId="0" borderId="0" xfId="0" applyNumberFormat="1" applyFont="1" applyAlignment="1">
      <alignment vertical="center"/>
    </xf>
    <xf numFmtId="43" fontId="59" fillId="0" borderId="0" xfId="12" applyNumberFormat="1" applyFont="1" applyAlignment="1">
      <alignment vertical="center"/>
    </xf>
    <xf numFmtId="43" fontId="59" fillId="0" borderId="0" xfId="0" applyNumberFormat="1" applyFont="1" applyAlignment="1">
      <alignment vertical="center"/>
    </xf>
    <xf numFmtId="43" fontId="61" fillId="0" borderId="0" xfId="0" applyNumberFormat="1" applyFont="1" applyAlignment="1">
      <alignment vertical="center"/>
    </xf>
    <xf numFmtId="0" fontId="6" fillId="0" borderId="17" xfId="32" applyFont="1" applyBorder="1" applyAlignment="1">
      <alignment vertical="top" wrapText="1"/>
    </xf>
    <xf numFmtId="0" fontId="6" fillId="0" borderId="17" xfId="32" applyFont="1" applyBorder="1" applyAlignment="1">
      <alignment horizontal="left" vertical="top" wrapText="1" indent="1"/>
    </xf>
    <xf numFmtId="167" fontId="6" fillId="4" borderId="4" xfId="0" applyNumberFormat="1" applyFont="1" applyFill="1" applyBorder="1" applyAlignment="1">
      <alignment horizontal="center" vertical="top" wrapText="1"/>
    </xf>
    <xf numFmtId="0" fontId="6" fillId="4" borderId="4" xfId="0" applyFont="1" applyFill="1" applyBorder="1" applyAlignment="1">
      <alignment horizontal="left" vertical="top" wrapText="1" indent="1"/>
    </xf>
    <xf numFmtId="0" fontId="7" fillId="4" borderId="4" xfId="0" applyFont="1" applyFill="1" applyBorder="1" applyAlignment="1">
      <alignment horizontal="left" vertical="top" wrapText="1" indent="1"/>
    </xf>
    <xf numFmtId="0" fontId="8" fillId="4" borderId="4" xfId="0" applyFont="1" applyFill="1" applyBorder="1" applyAlignment="1">
      <alignment horizontal="left" vertical="top" wrapText="1" indent="1"/>
    </xf>
    <xf numFmtId="0" fontId="8" fillId="4" borderId="1" xfId="95" applyFont="1" applyFill="1" applyBorder="1" applyAlignment="1">
      <alignment horizontal="left" vertical="top" wrapText="1" indent="1"/>
    </xf>
    <xf numFmtId="0" fontId="0" fillId="4" borderId="0" xfId="0" applyFill="1"/>
    <xf numFmtId="0" fontId="8" fillId="0" borderId="4" xfId="0" applyFont="1" applyBorder="1" applyAlignment="1">
      <alignment horizontal="left" vertical="top" wrapText="1"/>
    </xf>
    <xf numFmtId="165" fontId="8" fillId="0" borderId="4" xfId="0" applyNumberFormat="1" applyFont="1" applyBorder="1" applyAlignment="1">
      <alignment horizontal="right" vertical="top" wrapText="1"/>
    </xf>
    <xf numFmtId="165" fontId="8" fillId="0" borderId="4" xfId="0" applyNumberFormat="1" applyFont="1" applyFill="1" applyBorder="1" applyAlignment="1">
      <alignment horizontal="right" vertical="center" wrapText="1"/>
    </xf>
    <xf numFmtId="165" fontId="101" fillId="0" borderId="4" xfId="0" applyNumberFormat="1" applyFont="1" applyBorder="1" applyAlignment="1">
      <alignment horizontal="right"/>
    </xf>
    <xf numFmtId="165" fontId="8" fillId="0" borderId="4" xfId="12" applyNumberFormat="1" applyFont="1" applyFill="1" applyBorder="1" applyAlignment="1">
      <alignment horizontal="right" vertical="center" wrapText="1"/>
    </xf>
    <xf numFmtId="165" fontId="66" fillId="0" borderId="0" xfId="0" applyNumberFormat="1" applyFont="1"/>
    <xf numFmtId="0" fontId="9" fillId="4" borderId="1" xfId="95" applyFont="1" applyFill="1" applyBorder="1" applyAlignment="1">
      <alignment horizontal="center" vertical="center" wrapText="1"/>
    </xf>
    <xf numFmtId="0" fontId="9" fillId="0" borderId="1" xfId="95" applyFont="1" applyBorder="1" applyAlignment="1">
      <alignment vertical="top" wrapText="1"/>
    </xf>
    <xf numFmtId="0" fontId="7" fillId="4" borderId="1" xfId="95" applyFont="1" applyFill="1" applyBorder="1" applyAlignment="1">
      <alignment horizontal="left" vertical="top" wrapText="1" indent="1"/>
    </xf>
    <xf numFmtId="43" fontId="7" fillId="0" borderId="16" xfId="96" applyFont="1" applyFill="1" applyBorder="1" applyAlignment="1">
      <alignment horizontal="right" vertical="center" wrapText="1"/>
    </xf>
    <xf numFmtId="0" fontId="4" fillId="0" borderId="0" xfId="95" applyFont="1"/>
    <xf numFmtId="2" fontId="8" fillId="0" borderId="4" xfId="0" applyNumberFormat="1" applyFont="1" applyBorder="1" applyAlignment="1">
      <alignment horizontal="left" vertical="top" wrapText="1"/>
    </xf>
    <xf numFmtId="165" fontId="8" fillId="0" borderId="4" xfId="0" applyNumberFormat="1" applyFont="1" applyFill="1" applyBorder="1" applyAlignment="1">
      <alignment horizontal="right" vertical="center"/>
    </xf>
    <xf numFmtId="165" fontId="8" fillId="0" borderId="4" xfId="0" applyNumberFormat="1" applyFont="1" applyBorder="1" applyAlignment="1">
      <alignment horizontal="right" vertical="center"/>
    </xf>
    <xf numFmtId="165" fontId="7" fillId="4" borderId="4" xfId="0" applyNumberFormat="1" applyFont="1" applyFill="1" applyBorder="1" applyAlignment="1">
      <alignment horizontal="right" vertical="top" wrapText="1"/>
    </xf>
    <xf numFmtId="165" fontId="0" fillId="4" borderId="0" xfId="0" applyNumberFormat="1" applyFill="1"/>
    <xf numFmtId="0" fontId="12" fillId="4" borderId="4" xfId="48" applyFont="1" applyFill="1" applyBorder="1" applyAlignment="1">
      <alignment horizontal="center" vertical="center" wrapText="1"/>
    </xf>
    <xf numFmtId="0" fontId="12" fillId="4" borderId="4" xfId="48" applyFont="1" applyFill="1" applyBorder="1" applyAlignment="1">
      <alignment horizontal="center" vertical="center"/>
    </xf>
    <xf numFmtId="167" fontId="6" fillId="4" borderId="4" xfId="0" applyNumberFormat="1" applyFont="1" applyFill="1" applyBorder="1" applyAlignment="1">
      <alignment horizontal="left" vertical="top" wrapText="1" indent="1"/>
    </xf>
    <xf numFmtId="165" fontId="12" fillId="4" borderId="4" xfId="0" applyNumberFormat="1" applyFont="1" applyFill="1" applyBorder="1" applyAlignment="1">
      <alignment horizontal="right" vertical="top" wrapText="1"/>
    </xf>
    <xf numFmtId="0" fontId="22" fillId="4" borderId="0" xfId="0" applyFont="1" applyFill="1"/>
    <xf numFmtId="0" fontId="6" fillId="4" borderId="4" xfId="0" applyFont="1" applyFill="1" applyBorder="1" applyAlignment="1">
      <alignment horizontal="left" vertical="top" wrapText="1"/>
    </xf>
    <xf numFmtId="0" fontId="6" fillId="4" borderId="4" xfId="0" applyFont="1" applyFill="1" applyBorder="1" applyAlignment="1">
      <alignment vertical="top" wrapText="1"/>
    </xf>
    <xf numFmtId="0" fontId="7" fillId="4" borderId="4" xfId="0" applyFont="1" applyFill="1" applyBorder="1" applyAlignment="1">
      <alignment horizontal="left" vertical="top" wrapText="1"/>
    </xf>
    <xf numFmtId="0" fontId="7" fillId="4" borderId="4" xfId="0" applyFont="1" applyFill="1" applyBorder="1" applyAlignment="1">
      <alignment vertical="top" wrapText="1"/>
    </xf>
    <xf numFmtId="165" fontId="9" fillId="4" borderId="4" xfId="0" applyNumberFormat="1" applyFont="1" applyFill="1" applyBorder="1" applyAlignment="1">
      <alignment horizontal="right" vertical="center" wrapText="1"/>
    </xf>
    <xf numFmtId="165" fontId="9" fillId="4" borderId="4" xfId="0" applyNumberFormat="1" applyFont="1" applyFill="1" applyBorder="1" applyAlignment="1">
      <alignment horizontal="right" vertical="center"/>
    </xf>
    <xf numFmtId="165" fontId="23" fillId="4" borderId="4" xfId="0" applyNumberFormat="1" applyFont="1" applyFill="1" applyBorder="1" applyAlignment="1">
      <alignment horizontal="right"/>
    </xf>
    <xf numFmtId="0" fontId="8" fillId="4" borderId="4" xfId="0" applyFont="1" applyFill="1" applyBorder="1" applyAlignment="1">
      <alignment vertical="top" wrapText="1"/>
    </xf>
    <xf numFmtId="2" fontId="0" fillId="4" borderId="0" xfId="0" applyNumberFormat="1" applyFill="1"/>
    <xf numFmtId="165" fontId="9" fillId="4" borderId="4" xfId="0" applyNumberFormat="1" applyFont="1" applyFill="1" applyBorder="1" applyAlignment="1">
      <alignment horizontal="right" vertical="top" wrapText="1"/>
    </xf>
    <xf numFmtId="165" fontId="9" fillId="4" borderId="4" xfId="12" applyNumberFormat="1" applyFont="1" applyFill="1" applyBorder="1" applyAlignment="1">
      <alignment horizontal="right" vertical="center" wrapText="1"/>
    </xf>
    <xf numFmtId="0" fontId="13" fillId="4" borderId="1" xfId="95" applyFont="1" applyFill="1" applyBorder="1" applyAlignment="1">
      <alignment vertical="top" wrapText="1"/>
    </xf>
    <xf numFmtId="43" fontId="67" fillId="4" borderId="1" xfId="12" applyFont="1" applyFill="1" applyBorder="1" applyAlignment="1">
      <alignment horizontal="right" vertical="center" wrapText="1"/>
    </xf>
    <xf numFmtId="43" fontId="13" fillId="4" borderId="1" xfId="12" applyFont="1" applyFill="1" applyBorder="1" applyAlignment="1">
      <alignment horizontal="right" vertical="center" wrapText="1"/>
    </xf>
    <xf numFmtId="43" fontId="8" fillId="4" borderId="16" xfId="96" applyFont="1" applyFill="1" applyBorder="1" applyAlignment="1">
      <alignment horizontal="right" vertical="center" wrapText="1"/>
    </xf>
    <xf numFmtId="0" fontId="66" fillId="4" borderId="0" xfId="95" applyFont="1" applyFill="1"/>
    <xf numFmtId="2" fontId="7" fillId="4" borderId="4" xfId="0" applyNumberFormat="1" applyFont="1" applyFill="1" applyBorder="1" applyAlignment="1">
      <alignment horizontal="left" vertical="top" wrapText="1"/>
    </xf>
    <xf numFmtId="165" fontId="23" fillId="4" borderId="4" xfId="0" applyNumberFormat="1" applyFont="1" applyFill="1" applyBorder="1" applyAlignment="1">
      <alignment horizontal="right" vertical="center"/>
    </xf>
    <xf numFmtId="165" fontId="9" fillId="4" borderId="4" xfId="15" applyNumberFormat="1" applyFont="1" applyFill="1" applyBorder="1" applyAlignment="1">
      <alignment horizontal="right" wrapText="1"/>
    </xf>
    <xf numFmtId="165" fontId="12" fillId="4" borderId="4" xfId="0" applyNumberFormat="1" applyFont="1" applyFill="1" applyBorder="1" applyAlignment="1">
      <alignment horizontal="right" vertical="center" wrapText="1"/>
    </xf>
    <xf numFmtId="0" fontId="9" fillId="4" borderId="1" xfId="95" applyFont="1" applyFill="1" applyBorder="1" applyAlignment="1">
      <alignment vertical="top" wrapText="1"/>
    </xf>
    <xf numFmtId="43" fontId="81" fillId="4" borderId="1" xfId="12" applyFont="1" applyFill="1" applyBorder="1" applyAlignment="1">
      <alignment horizontal="right" vertical="center" wrapText="1"/>
    </xf>
    <xf numFmtId="43" fontId="9" fillId="4" borderId="1" xfId="12" applyFont="1" applyFill="1" applyBorder="1" applyAlignment="1">
      <alignment horizontal="right" vertical="center" wrapText="1"/>
    </xf>
    <xf numFmtId="43" fontId="7" fillId="4" borderId="16" xfId="96" applyFont="1" applyFill="1" applyBorder="1" applyAlignment="1">
      <alignment horizontal="right" vertical="center" wrapText="1"/>
    </xf>
    <xf numFmtId="0" fontId="4" fillId="4" borderId="0" xfId="95" applyFont="1" applyFill="1"/>
    <xf numFmtId="2" fontId="8" fillId="4" borderId="4" xfId="0" applyNumberFormat="1" applyFont="1" applyFill="1" applyBorder="1" applyAlignment="1">
      <alignment horizontal="left" vertical="top" wrapText="1"/>
    </xf>
    <xf numFmtId="165" fontId="13" fillId="4" borderId="4" xfId="0" applyNumberFormat="1" applyFont="1" applyFill="1" applyBorder="1" applyAlignment="1">
      <alignment horizontal="right" vertical="top" wrapText="1"/>
    </xf>
    <xf numFmtId="165" fontId="13" fillId="4" borderId="4" xfId="0" applyNumberFormat="1" applyFont="1" applyFill="1" applyBorder="1" applyAlignment="1">
      <alignment horizontal="right" vertical="center" wrapText="1"/>
    </xf>
    <xf numFmtId="0" fontId="66" fillId="4" borderId="0" xfId="0" applyFont="1" applyFill="1"/>
    <xf numFmtId="0" fontId="8" fillId="4" borderId="4" xfId="0" applyFont="1" applyFill="1" applyBorder="1" applyAlignment="1">
      <alignment horizontal="left" vertical="top" wrapText="1"/>
    </xf>
    <xf numFmtId="165" fontId="13" fillId="4" borderId="4" xfId="0" applyNumberFormat="1" applyFont="1" applyFill="1" applyBorder="1" applyAlignment="1">
      <alignment horizontal="right" vertical="center"/>
    </xf>
    <xf numFmtId="165" fontId="13" fillId="4" borderId="4" xfId="12" applyNumberFormat="1" applyFont="1" applyFill="1" applyBorder="1" applyAlignment="1">
      <alignment horizontal="right" vertical="center" wrapText="1"/>
    </xf>
    <xf numFmtId="165" fontId="99" fillId="0" borderId="4" xfId="0" applyNumberFormat="1" applyFont="1" applyBorder="1" applyAlignment="1">
      <alignment horizontal="right"/>
    </xf>
    <xf numFmtId="0" fontId="99" fillId="4" borderId="0" xfId="95" applyFont="1" applyFill="1"/>
    <xf numFmtId="43" fontId="7" fillId="6" borderId="4" xfId="95" applyNumberFormat="1" applyFont="1" applyFill="1" applyBorder="1" applyAlignment="1">
      <alignment horizontal="center" vertical="center" wrapText="1"/>
    </xf>
    <xf numFmtId="43" fontId="7" fillId="5" borderId="4" xfId="95" applyNumberFormat="1" applyFont="1" applyFill="1" applyBorder="1" applyAlignment="1">
      <alignment horizontal="right" vertical="center" wrapText="1"/>
    </xf>
    <xf numFmtId="43" fontId="7" fillId="6" borderId="4" xfId="95" applyNumberFormat="1" applyFont="1" applyFill="1" applyBorder="1" applyAlignment="1">
      <alignment horizontal="right" vertical="center" wrapText="1"/>
    </xf>
    <xf numFmtId="43" fontId="6" fillId="4" borderId="4" xfId="95" applyNumberFormat="1" applyFont="1" applyFill="1" applyBorder="1" applyAlignment="1">
      <alignment horizontal="right" vertical="center" wrapText="1"/>
    </xf>
    <xf numFmtId="43" fontId="6" fillId="6" borderId="4" xfId="95" applyNumberFormat="1" applyFont="1" applyFill="1" applyBorder="1" applyAlignment="1">
      <alignment horizontal="right" vertical="center" wrapText="1"/>
    </xf>
    <xf numFmtId="0" fontId="7" fillId="4" borderId="4" xfId="95" applyFont="1" applyFill="1" applyBorder="1" applyAlignment="1">
      <alignment horizontal="center" vertical="center" wrapText="1"/>
    </xf>
    <xf numFmtId="0" fontId="8" fillId="4" borderId="4" xfId="95" applyFont="1" applyFill="1" applyBorder="1" applyAlignment="1">
      <alignment horizontal="justify" vertical="center" wrapText="1"/>
    </xf>
    <xf numFmtId="0" fontId="8" fillId="4" borderId="4" xfId="95" applyFont="1" applyFill="1" applyBorder="1" applyAlignment="1">
      <alignment horizontal="center" vertical="center" wrapText="1"/>
    </xf>
    <xf numFmtId="43" fontId="7" fillId="4" borderId="4" xfId="95" applyNumberFormat="1" applyFont="1" applyFill="1" applyBorder="1" applyAlignment="1">
      <alignment horizontal="center" vertical="center" wrapText="1"/>
    </xf>
    <xf numFmtId="43" fontId="7" fillId="4" borderId="4" xfId="95" applyNumberFormat="1" applyFont="1" applyFill="1" applyBorder="1" applyAlignment="1">
      <alignment horizontal="right" vertical="center" wrapText="1"/>
    </xf>
    <xf numFmtId="0" fontId="14" fillId="4" borderId="0" xfId="95" applyFont="1" applyFill="1"/>
    <xf numFmtId="0" fontId="7" fillId="0" borderId="4" xfId="95" applyFont="1" applyFill="1" applyBorder="1" applyAlignment="1">
      <alignment horizontal="center" vertical="center" wrapText="1"/>
    </xf>
    <xf numFmtId="0" fontId="7" fillId="0" borderId="4" xfId="95" applyFont="1" applyFill="1" applyBorder="1" applyAlignment="1">
      <alignment horizontal="justify" vertical="center" wrapText="1"/>
    </xf>
    <xf numFmtId="43" fontId="7" fillId="0" borderId="4" xfId="95" applyNumberFormat="1" applyFont="1" applyFill="1" applyBorder="1" applyAlignment="1">
      <alignment horizontal="right" vertical="center" wrapText="1"/>
    </xf>
    <xf numFmtId="43" fontId="21" fillId="6" borderId="4" xfId="95" applyNumberFormat="1" applyFont="1" applyFill="1" applyBorder="1" applyAlignment="1">
      <alignment horizontal="right" vertical="center" wrapText="1"/>
    </xf>
    <xf numFmtId="43" fontId="21" fillId="5" borderId="4" xfId="95" applyNumberFormat="1" applyFont="1" applyFill="1" applyBorder="1" applyAlignment="1">
      <alignment horizontal="right" vertical="center" wrapText="1"/>
    </xf>
    <xf numFmtId="43" fontId="21" fillId="4" borderId="4" xfId="95" applyNumberFormat="1" applyFont="1" applyFill="1" applyBorder="1" applyAlignment="1">
      <alignment horizontal="right" vertical="center" wrapText="1"/>
    </xf>
    <xf numFmtId="0" fontId="102" fillId="0" borderId="0" xfId="95" applyFont="1"/>
    <xf numFmtId="2" fontId="6" fillId="6" borderId="4" xfId="95" applyNumberFormat="1" applyFont="1" applyFill="1" applyBorder="1" applyAlignment="1">
      <alignment horizontal="right" vertical="center" wrapText="1"/>
    </xf>
    <xf numFmtId="2" fontId="6" fillId="4" borderId="4" xfId="95" applyNumberFormat="1" applyFont="1" applyFill="1" applyBorder="1" applyAlignment="1">
      <alignment horizontal="right" vertical="center" wrapText="1"/>
    </xf>
    <xf numFmtId="43" fontId="6" fillId="6" borderId="4" xfId="95" applyNumberFormat="1" applyFont="1" applyFill="1" applyBorder="1" applyAlignment="1">
      <alignment horizontal="center" vertical="center" wrapText="1"/>
    </xf>
    <xf numFmtId="43" fontId="6" fillId="4" borderId="4" xfId="95" applyNumberFormat="1" applyFont="1" applyFill="1" applyBorder="1" applyAlignment="1">
      <alignment horizontal="center" vertical="center" wrapText="1"/>
    </xf>
    <xf numFmtId="2" fontId="22" fillId="0" borderId="0" xfId="0" applyNumberFormat="1" applyFont="1"/>
    <xf numFmtId="0" fontId="6" fillId="0" borderId="4" xfId="0" applyFont="1" applyBorder="1" applyAlignment="1">
      <alignment vertical="center" wrapText="1"/>
    </xf>
    <xf numFmtId="4" fontId="6" fillId="0" borderId="4" xfId="12" applyNumberFormat="1" applyFont="1" applyBorder="1" applyAlignment="1">
      <alignment horizontal="right" vertical="center" wrapText="1"/>
    </xf>
    <xf numFmtId="4" fontId="7" fillId="0" borderId="4" xfId="12" applyNumberFormat="1" applyFont="1" applyBorder="1" applyAlignment="1">
      <alignment horizontal="right" vertical="center" wrapText="1"/>
    </xf>
    <xf numFmtId="4" fontId="6" fillId="0" borderId="4" xfId="12" applyNumberFormat="1" applyFont="1" applyBorder="1" applyAlignment="1">
      <alignment horizontal="right" vertical="center"/>
    </xf>
    <xf numFmtId="0" fontId="6" fillId="0" borderId="4" xfId="0" applyFont="1" applyBorder="1" applyAlignment="1">
      <alignment horizontal="left" vertical="center" wrapText="1"/>
    </xf>
    <xf numFmtId="0" fontId="7" fillId="0" borderId="4" xfId="0" applyFont="1" applyBorder="1" applyAlignment="1">
      <alignment horizontal="center" vertical="center" wrapText="1"/>
    </xf>
    <xf numFmtId="0" fontId="7" fillId="0" borderId="4" xfId="0" applyFont="1" applyBorder="1" applyAlignment="1">
      <alignment horizontal="left" vertical="center" wrapText="1"/>
    </xf>
    <xf numFmtId="4" fontId="7" fillId="0" borderId="4" xfId="12" applyNumberFormat="1" applyFont="1" applyBorder="1" applyAlignment="1">
      <alignment horizontal="right" vertical="center"/>
    </xf>
    <xf numFmtId="0" fontId="8" fillId="0" borderId="4" xfId="0" applyFont="1" applyBorder="1" applyAlignment="1">
      <alignment horizontal="left" vertical="center" wrapText="1"/>
    </xf>
    <xf numFmtId="0" fontId="8" fillId="0" borderId="4" xfId="0" applyFont="1" applyBorder="1" applyAlignment="1">
      <alignment horizontal="center" vertical="center" wrapText="1"/>
    </xf>
    <xf numFmtId="4" fontId="8" fillId="0" borderId="4" xfId="12" applyNumberFormat="1" applyFont="1" applyBorder="1" applyAlignment="1">
      <alignment horizontal="right" vertical="center"/>
    </xf>
    <xf numFmtId="0" fontId="7" fillId="4" borderId="4" xfId="0" applyFont="1" applyFill="1" applyBorder="1" applyAlignment="1">
      <alignment horizontal="center" vertical="center" wrapText="1"/>
    </xf>
    <xf numFmtId="0" fontId="7" fillId="4" borderId="4" xfId="0" applyFont="1" applyFill="1" applyBorder="1" applyAlignment="1">
      <alignment horizontal="left" vertical="center" wrapText="1"/>
    </xf>
    <xf numFmtId="0" fontId="7" fillId="0" borderId="4" xfId="0" applyFont="1" applyBorder="1"/>
    <xf numFmtId="0" fontId="6" fillId="0" borderId="4" xfId="0" applyFont="1" applyBorder="1"/>
    <xf numFmtId="0" fontId="7" fillId="0" borderId="4" xfId="0" applyFont="1" applyBorder="1" applyAlignment="1">
      <alignment horizontal="center"/>
    </xf>
    <xf numFmtId="0" fontId="6" fillId="0" borderId="4" xfId="0" applyFont="1" applyBorder="1" applyAlignment="1">
      <alignment horizontal="center"/>
    </xf>
    <xf numFmtId="0" fontId="4" fillId="0" borderId="0" xfId="0" applyFont="1" applyAlignment="1">
      <alignment horizontal="center"/>
    </xf>
    <xf numFmtId="4" fontId="8" fillId="0" borderId="4" xfId="12" applyNumberFormat="1" applyFont="1" applyBorder="1" applyAlignment="1">
      <alignment horizontal="right" vertical="center" wrapText="1"/>
    </xf>
    <xf numFmtId="2" fontId="66" fillId="0" borderId="0" xfId="0" applyNumberFormat="1" applyFont="1"/>
    <xf numFmtId="4" fontId="79" fillId="0" borderId="0" xfId="0" applyNumberFormat="1" applyFont="1"/>
    <xf numFmtId="43" fontId="13" fillId="0" borderId="8" xfId="12" applyFont="1" applyBorder="1" applyAlignment="1">
      <alignment horizontal="right" vertical="center" wrapText="1"/>
    </xf>
    <xf numFmtId="0" fontId="6" fillId="6" borderId="4" xfId="95" applyFont="1" applyFill="1" applyBorder="1" applyAlignment="1">
      <alignment horizontal="center" vertical="center" wrapText="1"/>
    </xf>
    <xf numFmtId="0" fontId="7" fillId="6" borderId="4" xfId="95" applyFont="1" applyFill="1" applyBorder="1" applyAlignment="1">
      <alignment horizontal="center" vertical="center" wrapText="1"/>
    </xf>
    <xf numFmtId="0" fontId="6" fillId="4" borderId="4" xfId="95" applyFont="1" applyFill="1" applyBorder="1" applyAlignment="1">
      <alignment horizontal="center" vertical="center" wrapText="1"/>
    </xf>
    <xf numFmtId="2" fontId="7" fillId="0" borderId="53" xfId="0" applyNumberFormat="1" applyFont="1" applyBorder="1" applyAlignment="1">
      <alignment horizontal="right" vertical="center" wrapText="1"/>
    </xf>
    <xf numFmtId="167" fontId="7" fillId="0" borderId="6" xfId="0" applyNumberFormat="1" applyFont="1" applyBorder="1" applyAlignment="1">
      <alignment horizontal="center" vertical="center" wrapText="1"/>
    </xf>
    <xf numFmtId="2" fontId="7" fillId="0" borderId="1" xfId="0" applyNumberFormat="1" applyFont="1" applyBorder="1"/>
    <xf numFmtId="0" fontId="12" fillId="29" borderId="4" xfId="48" applyFont="1" applyFill="1" applyBorder="1" applyAlignment="1">
      <alignment horizontal="center" vertical="center"/>
    </xf>
    <xf numFmtId="0" fontId="7" fillId="6" borderId="4" xfId="95" applyFont="1" applyFill="1" applyBorder="1" applyAlignment="1">
      <alignment horizontal="center" vertical="center" wrapText="1"/>
    </xf>
    <xf numFmtId="43" fontId="14" fillId="0" borderId="0" xfId="95" applyNumberFormat="1" applyFont="1"/>
    <xf numFmtId="43" fontId="8" fillId="4" borderId="4" xfId="95" applyNumberFormat="1" applyFont="1" applyFill="1" applyBorder="1" applyAlignment="1">
      <alignment horizontal="right" vertical="center" wrapText="1"/>
    </xf>
    <xf numFmtId="43" fontId="8" fillId="5" borderId="4" xfId="95" applyNumberFormat="1" applyFont="1" applyFill="1" applyBorder="1" applyAlignment="1">
      <alignment horizontal="right" vertical="center" wrapText="1"/>
    </xf>
    <xf numFmtId="43" fontId="21" fillId="6" borderId="4" xfId="95" applyNumberFormat="1" applyFont="1" applyFill="1" applyBorder="1" applyAlignment="1">
      <alignment horizontal="center" vertical="center" wrapText="1"/>
    </xf>
    <xf numFmtId="43" fontId="102" fillId="0" borderId="0" xfId="95" applyNumberFormat="1" applyFont="1"/>
    <xf numFmtId="43" fontId="8" fillId="4" borderId="4" xfId="95" applyNumberFormat="1" applyFont="1" applyFill="1" applyBorder="1" applyAlignment="1">
      <alignment horizontal="center" vertical="center" wrapText="1"/>
    </xf>
    <xf numFmtId="43" fontId="8" fillId="6" borderId="4" xfId="95" applyNumberFormat="1" applyFont="1" applyFill="1" applyBorder="1" applyAlignment="1">
      <alignment horizontal="center" vertical="center" wrapText="1"/>
    </xf>
    <xf numFmtId="0" fontId="101" fillId="4" borderId="0" xfId="95" applyFont="1" applyFill="1"/>
    <xf numFmtId="43" fontId="101" fillId="0" borderId="0" xfId="95" applyNumberFormat="1" applyFont="1"/>
    <xf numFmtId="43" fontId="12" fillId="0" borderId="35" xfId="12" applyFont="1" applyBorder="1" applyAlignment="1">
      <alignment horizontal="right" vertical="center" wrapText="1"/>
    </xf>
    <xf numFmtId="0" fontId="7" fillId="0" borderId="0" xfId="0" applyFont="1" applyAlignment="1">
      <alignment horizontal="center"/>
    </xf>
    <xf numFmtId="0" fontId="7" fillId="0" borderId="1" xfId="0" applyFont="1" applyBorder="1" applyAlignment="1">
      <alignment horizontal="center"/>
    </xf>
    <xf numFmtId="0" fontId="6" fillId="0" borderId="17" xfId="0" applyFont="1" applyBorder="1" applyAlignment="1">
      <alignment horizontal="center"/>
    </xf>
    <xf numFmtId="0" fontId="6" fillId="0" borderId="1" xfId="32" applyFont="1" applyBorder="1" applyAlignment="1">
      <alignment horizontal="center" vertical="center" wrapText="1"/>
    </xf>
    <xf numFmtId="0" fontId="6" fillId="0" borderId="17" xfId="32" applyFont="1" applyBorder="1" applyAlignment="1">
      <alignment horizontal="center" vertical="center" wrapText="1"/>
    </xf>
    <xf numFmtId="0" fontId="14" fillId="0" borderId="0" xfId="32" applyFont="1"/>
    <xf numFmtId="43" fontId="14" fillId="0" borderId="0" xfId="32" applyNumberFormat="1" applyFont="1"/>
    <xf numFmtId="0" fontId="7" fillId="0" borderId="0" xfId="32" applyFont="1"/>
    <xf numFmtId="0" fontId="6" fillId="0" borderId="18" xfId="48" applyFont="1" applyFill="1" applyBorder="1" applyAlignment="1">
      <alignment horizontal="center" vertical="center" wrapText="1"/>
    </xf>
    <xf numFmtId="0" fontId="6" fillId="0" borderId="18" xfId="48" applyFont="1" applyFill="1" applyBorder="1" applyAlignment="1">
      <alignment horizontal="center" vertical="center"/>
    </xf>
    <xf numFmtId="0" fontId="6" fillId="0" borderId="16" xfId="48" applyFont="1" applyFill="1" applyBorder="1" applyAlignment="1">
      <alignment horizontal="center" vertical="center"/>
    </xf>
    <xf numFmtId="0" fontId="14" fillId="0" borderId="0" xfId="32" applyFont="1" applyBorder="1"/>
    <xf numFmtId="167" fontId="7" fillId="0" borderId="28" xfId="32" applyNumberFormat="1" applyFont="1" applyBorder="1" applyAlignment="1">
      <alignment horizontal="center" vertical="center" wrapText="1"/>
    </xf>
    <xf numFmtId="167" fontId="7" fillId="0" borderId="28" xfId="32" applyNumberFormat="1" applyFont="1" applyFill="1" applyBorder="1" applyAlignment="1">
      <alignment horizontal="center" vertical="center" wrapText="1"/>
    </xf>
    <xf numFmtId="167" fontId="7" fillId="3" borderId="28" xfId="32" applyNumberFormat="1" applyFont="1" applyFill="1" applyBorder="1" applyAlignment="1">
      <alignment horizontal="center" vertical="center" wrapText="1"/>
    </xf>
    <xf numFmtId="165" fontId="7" fillId="0" borderId="16" xfId="32" applyNumberFormat="1" applyFont="1" applyBorder="1" applyAlignment="1">
      <alignment horizontal="center" vertical="center" wrapText="1"/>
    </xf>
    <xf numFmtId="0" fontId="14" fillId="0" borderId="0" xfId="32" applyFont="1" applyBorder="1" applyAlignment="1">
      <alignment horizontal="center" vertical="center"/>
    </xf>
    <xf numFmtId="0" fontId="14" fillId="0" borderId="0" xfId="32" applyFont="1" applyAlignment="1">
      <alignment horizontal="center" vertical="center"/>
    </xf>
    <xf numFmtId="167" fontId="7" fillId="0" borderId="1" xfId="32" applyNumberFormat="1" applyFont="1" applyBorder="1" applyAlignment="1">
      <alignment horizontal="center" vertical="center" wrapText="1"/>
    </xf>
    <xf numFmtId="167" fontId="7" fillId="0" borderId="1" xfId="32" applyNumberFormat="1" applyFont="1" applyBorder="1" applyAlignment="1">
      <alignment horizontal="right" vertical="center" wrapText="1"/>
    </xf>
    <xf numFmtId="43" fontId="6" fillId="0" borderId="1" xfId="12" applyFont="1" applyBorder="1" applyAlignment="1">
      <alignment horizontal="right" vertical="center" wrapText="1"/>
    </xf>
    <xf numFmtId="165" fontId="7" fillId="0" borderId="16" xfId="32" applyNumberFormat="1" applyFont="1" applyBorder="1" applyAlignment="1">
      <alignment horizontal="right" vertical="center" wrapText="1"/>
    </xf>
    <xf numFmtId="0" fontId="14" fillId="0" borderId="0" xfId="32" applyFont="1" applyBorder="1" applyAlignment="1">
      <alignment horizontal="right" vertical="center"/>
    </xf>
    <xf numFmtId="0" fontId="14" fillId="0" borderId="0" xfId="32" applyFont="1" applyAlignment="1">
      <alignment horizontal="right" vertical="center"/>
    </xf>
    <xf numFmtId="43" fontId="6" fillId="4" borderId="1" xfId="12" applyFont="1" applyFill="1" applyBorder="1" applyAlignment="1">
      <alignment horizontal="right" vertical="center" wrapText="1"/>
    </xf>
    <xf numFmtId="0" fontId="7" fillId="0" borderId="1" xfId="32" applyFont="1" applyBorder="1" applyAlignment="1">
      <alignment horizontal="center" vertical="center" wrapText="1"/>
    </xf>
    <xf numFmtId="0" fontId="7" fillId="0" borderId="1" xfId="32" applyFont="1" applyBorder="1" applyAlignment="1">
      <alignment vertical="top" wrapText="1"/>
    </xf>
    <xf numFmtId="43" fontId="7" fillId="0" borderId="1" xfId="12" applyFont="1" applyBorder="1" applyAlignment="1">
      <alignment horizontal="right" vertical="center" wrapText="1"/>
    </xf>
    <xf numFmtId="43" fontId="14" fillId="0" borderId="0" xfId="32" applyNumberFormat="1" applyFont="1" applyBorder="1"/>
    <xf numFmtId="0" fontId="8" fillId="0" borderId="1" xfId="32" applyFont="1" applyBorder="1" applyAlignment="1">
      <alignment vertical="top" wrapText="1"/>
    </xf>
    <xf numFmtId="2" fontId="14" fillId="0" borderId="0" xfId="32" applyNumberFormat="1" applyFont="1" applyBorder="1"/>
    <xf numFmtId="43" fontId="8" fillId="0" borderId="1" xfId="12" applyFont="1" applyBorder="1" applyAlignment="1">
      <alignment horizontal="right" vertical="center" wrapText="1"/>
    </xf>
    <xf numFmtId="2" fontId="101" fillId="0" borderId="0" xfId="32" applyNumberFormat="1" applyFont="1" applyBorder="1"/>
    <xf numFmtId="0" fontId="101" fillId="0" borderId="0" xfId="32" applyFont="1"/>
    <xf numFmtId="0" fontId="7" fillId="0" borderId="1" xfId="32" applyFont="1" applyFill="1" applyBorder="1" applyAlignment="1">
      <alignment vertical="top" wrapText="1"/>
    </xf>
    <xf numFmtId="0" fontId="14" fillId="0" borderId="0" xfId="32" applyFont="1" applyFill="1" applyBorder="1"/>
    <xf numFmtId="0" fontId="14" fillId="0" borderId="0" xfId="32" applyFont="1" applyFill="1"/>
    <xf numFmtId="0" fontId="7" fillId="4" borderId="1" xfId="32" applyFont="1" applyFill="1" applyBorder="1" applyAlignment="1">
      <alignment vertical="top" wrapText="1"/>
    </xf>
    <xf numFmtId="0" fontId="14" fillId="4" borderId="0" xfId="32" applyFont="1" applyFill="1" applyBorder="1"/>
    <xf numFmtId="0" fontId="14" fillId="4" borderId="0" xfId="32" applyFont="1" applyFill="1"/>
    <xf numFmtId="0" fontId="8" fillId="4" borderId="1" xfId="32" applyFont="1" applyFill="1" applyBorder="1" applyAlignment="1">
      <alignment horizontal="center" vertical="center" wrapText="1"/>
    </xf>
    <xf numFmtId="0" fontId="101" fillId="0" borderId="0" xfId="32" applyFont="1" applyBorder="1"/>
    <xf numFmtId="2" fontId="14" fillId="0" borderId="0" xfId="32" applyNumberFormat="1" applyFont="1"/>
    <xf numFmtId="43" fontId="7" fillId="0" borderId="0" xfId="12" applyFont="1" applyBorder="1" applyAlignment="1">
      <alignment horizontal="right" vertical="center" wrapText="1"/>
    </xf>
    <xf numFmtId="180" fontId="7" fillId="0" borderId="0" xfId="12" applyNumberFormat="1" applyFont="1" applyBorder="1" applyAlignment="1">
      <alignment horizontal="right" vertical="center" wrapText="1"/>
    </xf>
    <xf numFmtId="43" fontId="6" fillId="0" borderId="17" xfId="12" applyFont="1" applyBorder="1" applyAlignment="1">
      <alignment horizontal="right" vertical="center" wrapText="1"/>
    </xf>
    <xf numFmtId="0" fontId="4" fillId="4" borderId="0" xfId="95" applyFont="1" applyFill="1" applyBorder="1" applyAlignment="1">
      <alignment horizontal="center" vertical="center"/>
    </xf>
    <xf numFmtId="0" fontId="12" fillId="4" borderId="13" xfId="95" applyFont="1" applyFill="1" applyBorder="1" applyAlignment="1">
      <alignment vertical="center" wrapText="1"/>
    </xf>
    <xf numFmtId="0" fontId="12" fillId="4" borderId="19" xfId="95" applyFont="1" applyFill="1" applyBorder="1" applyAlignment="1">
      <alignment horizontal="center" vertical="center" wrapText="1"/>
    </xf>
    <xf numFmtId="4" fontId="12" fillId="4" borderId="19" xfId="12" applyNumberFormat="1" applyFont="1" applyFill="1" applyBorder="1" applyAlignment="1">
      <alignment horizontal="right" vertical="center" wrapText="1"/>
    </xf>
    <xf numFmtId="4" fontId="12" fillId="4" borderId="19" xfId="12" applyNumberFormat="1" applyFont="1" applyFill="1" applyBorder="1" applyAlignment="1">
      <alignment horizontal="right" vertical="center"/>
    </xf>
    <xf numFmtId="4" fontId="22" fillId="4" borderId="0" xfId="95" applyNumberFormat="1" applyFont="1" applyFill="1"/>
    <xf numFmtId="0" fontId="22" fillId="4" borderId="0" xfId="95" applyFont="1" applyFill="1"/>
    <xf numFmtId="0" fontId="22" fillId="0" borderId="0" xfId="95" applyFont="1"/>
    <xf numFmtId="0" fontId="12" fillId="4" borderId="1" xfId="95" applyFont="1" applyFill="1" applyBorder="1" applyAlignment="1">
      <alignment horizontal="center" vertical="center" wrapText="1"/>
    </xf>
    <xf numFmtId="0" fontId="12" fillId="4" borderId="1" xfId="95" applyFont="1" applyFill="1" applyBorder="1" applyAlignment="1">
      <alignment horizontal="left" vertical="center" wrapText="1"/>
    </xf>
    <xf numFmtId="4" fontId="12" fillId="4" borderId="1" xfId="12" applyNumberFormat="1" applyFont="1" applyFill="1" applyBorder="1" applyAlignment="1">
      <alignment horizontal="right" vertical="center" wrapText="1"/>
    </xf>
    <xf numFmtId="4" fontId="12" fillId="4" borderId="1" xfId="12" applyNumberFormat="1" applyFont="1" applyFill="1" applyBorder="1" applyAlignment="1">
      <alignment horizontal="right" vertical="center"/>
    </xf>
    <xf numFmtId="0" fontId="9" fillId="4" borderId="1" xfId="95" applyFont="1" applyFill="1" applyBorder="1" applyAlignment="1">
      <alignment horizontal="left" vertical="center" wrapText="1"/>
    </xf>
    <xf numFmtId="4" fontId="9" fillId="4" borderId="1" xfId="12" applyNumberFormat="1" applyFont="1" applyFill="1" applyBorder="1" applyAlignment="1">
      <alignment horizontal="right" vertical="center" wrapText="1"/>
    </xf>
    <xf numFmtId="4" fontId="9" fillId="4" borderId="1" xfId="12" applyNumberFormat="1" applyFont="1" applyFill="1" applyBorder="1" applyAlignment="1">
      <alignment horizontal="right" vertical="center"/>
    </xf>
    <xf numFmtId="0" fontId="13" fillId="4" borderId="1" xfId="95" applyFont="1" applyFill="1" applyBorder="1" applyAlignment="1">
      <alignment horizontal="left" vertical="center" wrapText="1"/>
    </xf>
    <xf numFmtId="4" fontId="13" fillId="4" borderId="1" xfId="12" applyNumberFormat="1" applyFont="1" applyFill="1" applyBorder="1" applyAlignment="1">
      <alignment horizontal="right" vertical="center" wrapText="1"/>
    </xf>
    <xf numFmtId="4" fontId="13" fillId="4" borderId="1" xfId="12" applyNumberFormat="1" applyFont="1" applyFill="1" applyBorder="1" applyAlignment="1">
      <alignment horizontal="right" vertical="center"/>
    </xf>
    <xf numFmtId="4" fontId="4" fillId="4" borderId="0" xfId="95" applyNumberFormat="1" applyFont="1" applyFill="1"/>
    <xf numFmtId="0" fontId="12" fillId="4" borderId="35" xfId="95" applyFont="1" applyFill="1" applyBorder="1" applyAlignment="1">
      <alignment horizontal="center" vertical="center" wrapText="1"/>
    </xf>
    <xf numFmtId="0" fontId="12" fillId="4" borderId="35" xfId="95" applyFont="1" applyFill="1" applyBorder="1" applyAlignment="1">
      <alignment horizontal="left" vertical="center" wrapText="1"/>
    </xf>
    <xf numFmtId="4" fontId="9" fillId="4" borderId="35" xfId="12" applyNumberFormat="1" applyFont="1" applyFill="1" applyBorder="1" applyAlignment="1">
      <alignment vertical="center" wrapText="1"/>
    </xf>
    <xf numFmtId="4" fontId="9" fillId="4" borderId="35" xfId="12" applyNumberFormat="1" applyFont="1" applyFill="1" applyBorder="1" applyAlignment="1">
      <alignment horizontal="right" vertical="center" wrapText="1"/>
    </xf>
    <xf numFmtId="4" fontId="9" fillId="4" borderId="35" xfId="12" applyNumberFormat="1" applyFont="1" applyFill="1" applyBorder="1" applyAlignment="1">
      <alignment vertical="center"/>
    </xf>
    <xf numFmtId="0" fontId="12" fillId="4" borderId="8" xfId="95" applyFont="1" applyFill="1" applyBorder="1" applyAlignment="1">
      <alignment horizontal="center" vertical="center" wrapText="1"/>
    </xf>
    <xf numFmtId="0" fontId="12" fillId="4" borderId="8" xfId="95" applyFont="1" applyFill="1" applyBorder="1" applyAlignment="1">
      <alignment horizontal="left" vertical="center" wrapText="1"/>
    </xf>
    <xf numFmtId="4" fontId="9" fillId="4" borderId="8" xfId="12" applyNumberFormat="1" applyFont="1" applyFill="1" applyBorder="1" applyAlignment="1">
      <alignment vertical="center" wrapText="1"/>
    </xf>
    <xf numFmtId="4" fontId="9" fillId="4" borderId="8" xfId="12" applyNumberFormat="1" applyFont="1" applyFill="1" applyBorder="1" applyAlignment="1">
      <alignment horizontal="right" vertical="center" wrapText="1"/>
    </xf>
    <xf numFmtId="4" fontId="9" fillId="4" borderId="8" xfId="12" applyNumberFormat="1" applyFont="1" applyFill="1" applyBorder="1" applyAlignment="1">
      <alignment vertical="center"/>
    </xf>
    <xf numFmtId="0" fontId="12" fillId="4" borderId="9" xfId="95" applyFont="1" applyFill="1" applyBorder="1" applyAlignment="1">
      <alignment horizontal="center" vertical="center" wrapText="1"/>
    </xf>
    <xf numFmtId="0" fontId="12" fillId="4" borderId="9" xfId="95" applyFont="1" applyFill="1" applyBorder="1" applyAlignment="1">
      <alignment horizontal="left" vertical="center" wrapText="1"/>
    </xf>
    <xf numFmtId="4" fontId="12" fillId="4" borderId="9" xfId="12" applyNumberFormat="1" applyFont="1" applyFill="1" applyBorder="1" applyAlignment="1">
      <alignment horizontal="right" vertical="center" wrapText="1"/>
    </xf>
    <xf numFmtId="4" fontId="12" fillId="4" borderId="9" xfId="12" applyNumberFormat="1" applyFont="1" applyFill="1" applyBorder="1" applyAlignment="1">
      <alignment vertical="center"/>
    </xf>
    <xf numFmtId="0" fontId="6" fillId="0" borderId="13" xfId="0" applyFont="1" applyBorder="1" applyAlignment="1">
      <alignment vertical="center" wrapText="1"/>
    </xf>
    <xf numFmtId="0" fontId="6" fillId="0" borderId="13" xfId="0" applyFont="1" applyBorder="1" applyAlignment="1">
      <alignment horizontal="center" vertical="center" wrapText="1"/>
    </xf>
    <xf numFmtId="0" fontId="6" fillId="6" borderId="4" xfId="0" applyFont="1" applyFill="1" applyBorder="1" applyAlignment="1">
      <alignment horizontal="center" vertical="center" wrapText="1"/>
    </xf>
    <xf numFmtId="2" fontId="7" fillId="4" borderId="1" xfId="0" applyNumberFormat="1" applyFont="1" applyFill="1" applyBorder="1"/>
    <xf numFmtId="0" fontId="104" fillId="0" borderId="0" xfId="34" applyFont="1" applyFill="1" applyAlignment="1">
      <alignment horizontal="left" vertical="center" wrapText="1"/>
    </xf>
    <xf numFmtId="0" fontId="105" fillId="0" borderId="0" xfId="34" applyFont="1" applyFill="1"/>
    <xf numFmtId="4" fontId="104" fillId="0" borderId="20" xfId="78" applyNumberFormat="1" applyFont="1" applyFill="1" applyBorder="1" applyAlignment="1">
      <alignment horizontal="center" vertical="center" wrapText="1"/>
    </xf>
    <xf numFmtId="0" fontId="105" fillId="0" borderId="0" xfId="34" applyFont="1" applyFill="1" applyAlignment="1">
      <alignment horizontal="center"/>
    </xf>
    <xf numFmtId="4" fontId="104" fillId="0" borderId="13" xfId="78" applyNumberFormat="1" applyFont="1" applyFill="1" applyBorder="1" applyAlignment="1">
      <alignment horizontal="center" vertical="center" wrapText="1"/>
    </xf>
    <xf numFmtId="4" fontId="103" fillId="0" borderId="4" xfId="78" applyNumberFormat="1" applyFont="1" applyFill="1" applyBorder="1" applyAlignment="1">
      <alignment horizontal="center" vertical="center" wrapText="1"/>
    </xf>
    <xf numFmtId="4" fontId="103" fillId="0" borderId="26" xfId="78" applyNumberFormat="1" applyFont="1" applyFill="1" applyBorder="1" applyAlignment="1">
      <alignment horizontal="center" vertical="center" wrapText="1"/>
    </xf>
    <xf numFmtId="167" fontId="104" fillId="0" borderId="19" xfId="78" applyNumberFormat="1" applyFont="1" applyFill="1" applyBorder="1" applyAlignment="1">
      <alignment horizontal="center" vertical="center" wrapText="1"/>
    </xf>
    <xf numFmtId="167" fontId="104" fillId="0" borderId="19" xfId="78" applyNumberFormat="1" applyFont="1" applyFill="1" applyBorder="1" applyAlignment="1">
      <alignment horizontal="left" vertical="center" wrapText="1"/>
    </xf>
    <xf numFmtId="167" fontId="104" fillId="0" borderId="52" xfId="78" applyNumberFormat="1" applyFont="1" applyFill="1" applyBorder="1" applyAlignment="1">
      <alignment horizontal="center" vertical="center" wrapText="1"/>
    </xf>
    <xf numFmtId="167" fontId="104" fillId="0" borderId="19" xfId="78" applyNumberFormat="1" applyFont="1" applyFill="1" applyBorder="1" applyAlignment="1">
      <alignment vertical="center" wrapText="1"/>
    </xf>
    <xf numFmtId="0" fontId="103" fillId="0" borderId="20" xfId="34" applyFont="1" applyFill="1" applyBorder="1" applyAlignment="1">
      <alignment horizontal="left" vertical="center" wrapText="1"/>
    </xf>
    <xf numFmtId="167" fontId="105" fillId="0" borderId="0" xfId="34" applyNumberFormat="1" applyFont="1" applyFill="1" applyAlignment="1">
      <alignment horizontal="center" vertical="center"/>
    </xf>
    <xf numFmtId="3" fontId="104" fillId="0" borderId="19" xfId="78" applyNumberFormat="1" applyFont="1" applyFill="1" applyBorder="1" applyAlignment="1">
      <alignment horizontal="center" vertical="center" wrapText="1"/>
    </xf>
    <xf numFmtId="4" fontId="104" fillId="0" borderId="19" xfId="78" applyNumberFormat="1" applyFont="1" applyFill="1" applyBorder="1" applyAlignment="1">
      <alignment horizontal="left" vertical="center" wrapText="1"/>
    </xf>
    <xf numFmtId="4" fontId="104" fillId="0" borderId="19" xfId="78" applyNumberFormat="1" applyFont="1" applyFill="1" applyBorder="1" applyAlignment="1">
      <alignment horizontal="center" vertical="center" wrapText="1"/>
    </xf>
    <xf numFmtId="4" fontId="104" fillId="0" borderId="52" xfId="78" applyNumberFormat="1" applyFont="1" applyFill="1" applyBorder="1" applyAlignment="1">
      <alignment horizontal="center" vertical="center" wrapText="1"/>
    </xf>
    <xf numFmtId="4" fontId="104" fillId="0" borderId="19" xfId="78" applyNumberFormat="1" applyFont="1" applyFill="1" applyBorder="1" applyAlignment="1">
      <alignment horizontal="right" vertical="center" wrapText="1"/>
    </xf>
    <xf numFmtId="4" fontId="103" fillId="0" borderId="19" xfId="78" applyNumberFormat="1" applyFont="1" applyFill="1" applyBorder="1" applyAlignment="1">
      <alignment horizontal="center" vertical="center" wrapText="1"/>
    </xf>
    <xf numFmtId="4" fontId="103" fillId="0" borderId="19" xfId="46" applyNumberFormat="1" applyFont="1" applyFill="1" applyBorder="1" applyAlignment="1">
      <alignment horizontal="center" vertical="center" wrapText="1"/>
    </xf>
    <xf numFmtId="4" fontId="104" fillId="0" borderId="54" xfId="78" applyNumberFormat="1" applyFont="1" applyFill="1" applyBorder="1" applyAlignment="1">
      <alignment vertical="center" wrapText="1"/>
    </xf>
    <xf numFmtId="3" fontId="103" fillId="0" borderId="4" xfId="80" applyNumberFormat="1" applyFont="1" applyFill="1" applyBorder="1" applyAlignment="1">
      <alignment horizontal="center" vertical="center" wrapText="1"/>
    </xf>
    <xf numFmtId="4" fontId="103" fillId="0" borderId="4" xfId="80" applyNumberFormat="1" applyFont="1" applyFill="1" applyBorder="1" applyAlignment="1">
      <alignment horizontal="left" vertical="center" wrapText="1"/>
    </xf>
    <xf numFmtId="4" fontId="104" fillId="0" borderId="4" xfId="80" applyNumberFormat="1" applyFont="1" applyFill="1" applyBorder="1" applyAlignment="1">
      <alignment horizontal="center" vertical="center" wrapText="1"/>
    </xf>
    <xf numFmtId="4" fontId="103" fillId="0" borderId="4" xfId="80" applyNumberFormat="1" applyFont="1" applyFill="1" applyBorder="1" applyAlignment="1">
      <alignment horizontal="right" vertical="center" wrapText="1"/>
    </xf>
    <xf numFmtId="4" fontId="103" fillId="0" borderId="4" xfId="80" applyNumberFormat="1" applyFont="1" applyFill="1" applyBorder="1" applyAlignment="1">
      <alignment vertical="center" wrapText="1"/>
    </xf>
    <xf numFmtId="0" fontId="104" fillId="0" borderId="4" xfId="34" applyFont="1" applyFill="1" applyBorder="1" applyAlignment="1">
      <alignment horizontal="left" vertical="center" wrapText="1"/>
    </xf>
    <xf numFmtId="4" fontId="103" fillId="0" borderId="4" xfId="80" applyNumberFormat="1" applyFont="1" applyFill="1" applyBorder="1" applyAlignment="1">
      <alignment horizontal="center" vertical="center" wrapText="1"/>
    </xf>
    <xf numFmtId="3" fontId="104" fillId="0" borderId="4" xfId="80" applyNumberFormat="1" applyFont="1" applyFill="1" applyBorder="1" applyAlignment="1">
      <alignment horizontal="center" vertical="center" wrapText="1"/>
    </xf>
    <xf numFmtId="4" fontId="104" fillId="0" borderId="4" xfId="80" applyNumberFormat="1" applyFont="1" applyFill="1" applyBorder="1" applyAlignment="1">
      <alignment horizontal="left" vertical="center" wrapText="1"/>
    </xf>
    <xf numFmtId="4" fontId="104" fillId="0" borderId="5" xfId="14" applyNumberFormat="1" applyFont="1" applyFill="1" applyBorder="1" applyAlignment="1">
      <alignment horizontal="right" vertical="center" wrapText="1" shrinkToFit="1"/>
    </xf>
    <xf numFmtId="4" fontId="104" fillId="0" borderId="4" xfId="80" applyNumberFormat="1" applyFont="1" applyFill="1" applyBorder="1" applyAlignment="1">
      <alignment horizontal="right" vertical="center" wrapText="1"/>
    </xf>
    <xf numFmtId="4" fontId="104" fillId="0" borderId="4" xfId="80" applyNumberFormat="1" applyFont="1" applyFill="1" applyBorder="1" applyAlignment="1">
      <alignment vertical="center" wrapText="1"/>
    </xf>
    <xf numFmtId="0" fontId="104" fillId="0" borderId="4" xfId="34" applyFont="1" applyFill="1" applyBorder="1" applyAlignment="1">
      <alignment horizontal="center" vertical="center" wrapText="1"/>
    </xf>
    <xf numFmtId="4" fontId="104" fillId="0" borderId="4" xfId="14" applyNumberFormat="1" applyFont="1" applyFill="1" applyBorder="1" applyAlignment="1">
      <alignment horizontal="right" vertical="center" wrapText="1" shrinkToFit="1"/>
    </xf>
    <xf numFmtId="4" fontId="104" fillId="0" borderId="4" xfId="82" applyNumberFormat="1" applyFont="1" applyFill="1" applyBorder="1" applyAlignment="1">
      <alignment horizontal="right" vertical="center" wrapText="1"/>
    </xf>
    <xf numFmtId="4" fontId="104" fillId="0" borderId="4" xfId="34" applyNumberFormat="1" applyFont="1" applyFill="1" applyBorder="1" applyAlignment="1">
      <alignment vertical="center" wrapText="1" shrinkToFit="1"/>
    </xf>
    <xf numFmtId="0" fontId="104" fillId="0" borderId="4" xfId="0" applyFont="1" applyFill="1" applyBorder="1" applyAlignment="1">
      <alignment horizontal="center" vertical="center" wrapText="1"/>
    </xf>
    <xf numFmtId="3" fontId="106" fillId="0" borderId="4" xfId="80" applyNumberFormat="1" applyFont="1" applyFill="1" applyBorder="1" applyAlignment="1">
      <alignment horizontal="center" vertical="center" wrapText="1"/>
    </xf>
    <xf numFmtId="4" fontId="106" fillId="0" borderId="4" xfId="80" applyNumberFormat="1" applyFont="1" applyFill="1" applyBorder="1" applyAlignment="1">
      <alignment horizontal="left" vertical="center" wrapText="1"/>
    </xf>
    <xf numFmtId="0" fontId="104" fillId="0" borderId="5" xfId="34" applyFont="1" applyFill="1" applyBorder="1" applyAlignment="1">
      <alignment horizontal="center" vertical="center" wrapText="1"/>
    </xf>
    <xf numFmtId="0" fontId="104" fillId="0" borderId="5" xfId="34" applyFont="1" applyFill="1" applyBorder="1" applyAlignment="1">
      <alignment horizontal="left" vertical="center" wrapText="1" shrinkToFit="1"/>
    </xf>
    <xf numFmtId="4" fontId="104" fillId="0" borderId="5" xfId="80" applyNumberFormat="1" applyFont="1" applyFill="1" applyBorder="1" applyAlignment="1">
      <alignment horizontal="center" vertical="center" wrapText="1"/>
    </xf>
    <xf numFmtId="4" fontId="104" fillId="0" borderId="5" xfId="80" applyNumberFormat="1" applyFont="1" applyFill="1" applyBorder="1" applyAlignment="1">
      <alignment horizontal="right" vertical="center" wrapText="1"/>
    </xf>
    <xf numFmtId="4" fontId="104" fillId="0" borderId="5" xfId="82" applyNumberFormat="1" applyFont="1" applyFill="1" applyBorder="1" applyAlignment="1">
      <alignment horizontal="right" vertical="center" wrapText="1"/>
    </xf>
    <xf numFmtId="4" fontId="104" fillId="0" borderId="5" xfId="83" applyNumberFormat="1" applyFont="1" applyFill="1" applyBorder="1" applyAlignment="1">
      <alignment vertical="center" wrapText="1"/>
    </xf>
    <xf numFmtId="0" fontId="104" fillId="0" borderId="19" xfId="34" applyFont="1" applyFill="1" applyBorder="1" applyAlignment="1">
      <alignment vertical="center" wrapText="1"/>
    </xf>
    <xf numFmtId="4" fontId="104" fillId="0" borderId="4" xfId="34" applyNumberFormat="1" applyFont="1" applyFill="1" applyBorder="1" applyAlignment="1">
      <alignment horizontal="center" vertical="center" wrapText="1"/>
    </xf>
    <xf numFmtId="4" fontId="104" fillId="0" borderId="1" xfId="80" applyNumberFormat="1" applyFont="1" applyFill="1" applyBorder="1" applyAlignment="1">
      <alignment horizontal="center" vertical="center" wrapText="1"/>
    </xf>
    <xf numFmtId="4" fontId="104" fillId="0" borderId="1" xfId="14" applyNumberFormat="1" applyFont="1" applyFill="1" applyBorder="1" applyAlignment="1">
      <alignment horizontal="right" vertical="center" wrapText="1" shrinkToFit="1"/>
    </xf>
    <xf numFmtId="4" fontId="104" fillId="0" borderId="1" xfId="80" applyNumberFormat="1" applyFont="1" applyFill="1" applyBorder="1" applyAlignment="1">
      <alignment horizontal="right" vertical="center" wrapText="1"/>
    </xf>
    <xf numFmtId="4" fontId="104" fillId="0" borderId="1" xfId="82" applyNumberFormat="1" applyFont="1" applyFill="1" applyBorder="1" applyAlignment="1">
      <alignment horizontal="right" vertical="center" wrapText="1"/>
    </xf>
    <xf numFmtId="4" fontId="104" fillId="0" borderId="1" xfId="83" applyNumberFormat="1" applyFont="1" applyFill="1" applyBorder="1" applyAlignment="1">
      <alignment vertical="center" wrapText="1"/>
    </xf>
    <xf numFmtId="4" fontId="104" fillId="0" borderId="17" xfId="80" applyNumberFormat="1" applyFont="1" applyFill="1" applyBorder="1" applyAlignment="1">
      <alignment horizontal="center" vertical="center" wrapText="1"/>
    </xf>
    <xf numFmtId="4" fontId="104" fillId="0" borderId="17" xfId="14" applyNumberFormat="1" applyFont="1" applyFill="1" applyBorder="1" applyAlignment="1">
      <alignment horizontal="right" vertical="center" wrapText="1" shrinkToFit="1"/>
    </xf>
    <xf numFmtId="4" fontId="104" fillId="0" borderId="17" xfId="80" applyNumberFormat="1" applyFont="1" applyFill="1" applyBorder="1" applyAlignment="1">
      <alignment horizontal="right" vertical="center" wrapText="1"/>
    </xf>
    <xf numFmtId="4" fontId="104" fillId="0" borderId="17" xfId="82" applyNumberFormat="1" applyFont="1" applyFill="1" applyBorder="1" applyAlignment="1">
      <alignment horizontal="right" vertical="center" wrapText="1"/>
    </xf>
    <xf numFmtId="4" fontId="104" fillId="0" borderId="17" xfId="34" applyNumberFormat="1" applyFont="1" applyFill="1" applyBorder="1" applyAlignment="1">
      <alignment vertical="center" wrapText="1"/>
    </xf>
    <xf numFmtId="4" fontId="104" fillId="0" borderId="4" xfId="81" applyNumberFormat="1" applyFont="1" applyFill="1" applyBorder="1" applyAlignment="1">
      <alignment horizontal="right" vertical="center" wrapText="1"/>
    </xf>
    <xf numFmtId="4" fontId="104" fillId="0" borderId="4" xfId="78" applyNumberFormat="1" applyFont="1" applyFill="1" applyBorder="1" applyAlignment="1">
      <alignment horizontal="right" vertical="center" wrapText="1"/>
    </xf>
    <xf numFmtId="4" fontId="104" fillId="0" borderId="4" xfId="34" applyNumberFormat="1" applyFont="1" applyFill="1" applyBorder="1" applyAlignment="1">
      <alignment vertical="center" wrapText="1"/>
    </xf>
    <xf numFmtId="0" fontId="107" fillId="0" borderId="4" xfId="34" applyFont="1" applyFill="1" applyBorder="1" applyAlignment="1">
      <alignment horizontal="left" vertical="center" wrapText="1" shrinkToFit="1"/>
    </xf>
    <xf numFmtId="4" fontId="107" fillId="0" borderId="4" xfId="80" applyNumberFormat="1" applyFont="1" applyFill="1" applyBorder="1" applyAlignment="1">
      <alignment horizontal="center" vertical="center" wrapText="1"/>
    </xf>
    <xf numFmtId="4" fontId="107" fillId="0" borderId="4" xfId="14" applyNumberFormat="1" applyFont="1" applyFill="1" applyBorder="1" applyAlignment="1">
      <alignment horizontal="right" vertical="center" wrapText="1" shrinkToFit="1"/>
    </xf>
    <xf numFmtId="4" fontId="107" fillId="0" borderId="4" xfId="81" applyNumberFormat="1" applyFont="1" applyFill="1" applyBorder="1" applyAlignment="1">
      <alignment horizontal="right" vertical="center" wrapText="1"/>
    </xf>
    <xf numFmtId="4" fontId="107" fillId="0" borderId="4" xfId="80" applyNumberFormat="1" applyFont="1" applyFill="1" applyBorder="1" applyAlignment="1">
      <alignment horizontal="right" vertical="center" wrapText="1"/>
    </xf>
    <xf numFmtId="4" fontId="107" fillId="0" borderId="4" xfId="78" applyNumberFormat="1" applyFont="1" applyFill="1" applyBorder="1" applyAlignment="1">
      <alignment horizontal="right" vertical="center" wrapText="1"/>
    </xf>
    <xf numFmtId="4" fontId="107" fillId="0" borderId="4" xfId="34" applyNumberFormat="1" applyFont="1" applyFill="1" applyBorder="1" applyAlignment="1">
      <alignment vertical="center" wrapText="1"/>
    </xf>
    <xf numFmtId="0" fontId="108" fillId="0" borderId="0" xfId="34" applyFont="1" applyFill="1"/>
    <xf numFmtId="0" fontId="104" fillId="0" borderId="4" xfId="34" applyFont="1" applyFill="1" applyBorder="1" applyAlignment="1">
      <alignment horizontal="left" vertical="center" wrapText="1" shrinkToFit="1"/>
    </xf>
    <xf numFmtId="4" fontId="104" fillId="0" borderId="4" xfId="91" applyNumberFormat="1" applyFont="1" applyFill="1" applyBorder="1" applyAlignment="1">
      <alignment vertical="center" wrapText="1"/>
    </xf>
    <xf numFmtId="4" fontId="107" fillId="0" borderId="4" xfId="91" applyNumberFormat="1" applyFont="1" applyFill="1" applyBorder="1" applyAlignment="1">
      <alignment vertical="center" wrapText="1"/>
    </xf>
    <xf numFmtId="1" fontId="107" fillId="0" borderId="4" xfId="91" applyNumberFormat="1" applyFont="1" applyFill="1" applyBorder="1" applyAlignment="1">
      <alignment horizontal="left" vertical="center" wrapText="1"/>
    </xf>
    <xf numFmtId="4" fontId="104" fillId="0" borderId="5" xfId="81" applyNumberFormat="1" applyFont="1" applyFill="1" applyBorder="1" applyAlignment="1">
      <alignment horizontal="right" vertical="center" wrapText="1"/>
    </xf>
    <xf numFmtId="4" fontId="104" fillId="0" borderId="5" xfId="78" applyNumberFormat="1" applyFont="1" applyFill="1" applyBorder="1" applyAlignment="1">
      <alignment horizontal="right" vertical="center" wrapText="1"/>
    </xf>
    <xf numFmtId="4" fontId="104" fillId="0" borderId="5" xfId="0" applyNumberFormat="1" applyFont="1" applyFill="1" applyBorder="1" applyAlignment="1">
      <alignment vertical="center" wrapText="1"/>
    </xf>
    <xf numFmtId="4" fontId="104" fillId="0" borderId="17" xfId="81" applyNumberFormat="1" applyFont="1" applyFill="1" applyBorder="1" applyAlignment="1">
      <alignment horizontal="right" vertical="center" wrapText="1"/>
    </xf>
    <xf numFmtId="4" fontId="104" fillId="0" borderId="17" xfId="78" applyNumberFormat="1" applyFont="1" applyFill="1" applyBorder="1" applyAlignment="1">
      <alignment horizontal="right" vertical="center" wrapText="1"/>
    </xf>
    <xf numFmtId="4" fontId="104" fillId="0" borderId="17" xfId="0" applyNumberFormat="1" applyFont="1" applyFill="1" applyBorder="1" applyAlignment="1">
      <alignment vertical="center" wrapText="1"/>
    </xf>
    <xf numFmtId="0" fontId="104" fillId="0" borderId="4" xfId="89" applyFont="1" applyFill="1" applyBorder="1" applyAlignment="1">
      <alignment horizontal="left" vertical="center" wrapText="1"/>
    </xf>
    <xf numFmtId="0" fontId="104" fillId="0" borderId="4" xfId="173" applyFont="1" applyFill="1" applyBorder="1" applyAlignment="1">
      <alignment horizontal="left" vertical="center" wrapText="1"/>
    </xf>
    <xf numFmtId="0" fontId="104" fillId="0" borderId="4" xfId="34" applyFont="1" applyFill="1" applyBorder="1" applyAlignment="1">
      <alignment vertical="center"/>
    </xf>
    <xf numFmtId="0" fontId="104" fillId="0" borderId="4" xfId="34" applyFont="1" applyFill="1" applyBorder="1" applyAlignment="1">
      <alignment vertical="center" wrapText="1" shrinkToFit="1"/>
    </xf>
    <xf numFmtId="4" fontId="104" fillId="0" borderId="4" xfId="88" applyNumberFormat="1" applyFont="1" applyFill="1" applyBorder="1" applyAlignment="1">
      <alignment horizontal="left" vertical="center" wrapText="1"/>
    </xf>
    <xf numFmtId="0" fontId="104" fillId="0" borderId="4" xfId="34" applyFont="1" applyFill="1" applyBorder="1" applyAlignment="1">
      <alignment horizontal="left" vertical="center" wrapText="1"/>
    </xf>
    <xf numFmtId="0" fontId="104" fillId="0" borderId="4" xfId="34" applyFont="1" applyFill="1" applyBorder="1" applyAlignment="1">
      <alignment vertical="center" wrapText="1"/>
    </xf>
    <xf numFmtId="4" fontId="104" fillId="0" borderId="5" xfId="34" applyNumberFormat="1" applyFont="1" applyFill="1" applyBorder="1" applyAlignment="1">
      <alignment vertical="center" wrapText="1" shrinkToFit="1"/>
    </xf>
    <xf numFmtId="4" fontId="104" fillId="0" borderId="1" xfId="81" applyNumberFormat="1" applyFont="1" applyFill="1" applyBorder="1" applyAlignment="1">
      <alignment horizontal="right" vertical="center" wrapText="1"/>
    </xf>
    <xf numFmtId="4" fontId="104" fillId="0" borderId="1" xfId="34" applyNumberFormat="1" applyFont="1" applyFill="1" applyBorder="1" applyAlignment="1">
      <alignment vertical="center" wrapText="1" shrinkToFit="1"/>
    </xf>
    <xf numFmtId="0" fontId="104" fillId="0" borderId="17" xfId="34" applyFont="1" applyFill="1" applyBorder="1" applyAlignment="1">
      <alignment vertical="center" wrapText="1"/>
    </xf>
    <xf numFmtId="4" fontId="104" fillId="0" borderId="4" xfId="78" applyNumberFormat="1" applyFont="1" applyFill="1" applyBorder="1" applyAlignment="1">
      <alignment vertical="center" wrapText="1"/>
    </xf>
    <xf numFmtId="4" fontId="104" fillId="0" borderId="5" xfId="78" applyNumberFormat="1" applyFont="1" applyFill="1" applyBorder="1" applyAlignment="1">
      <alignment vertical="center" wrapText="1"/>
    </xf>
    <xf numFmtId="4" fontId="104" fillId="0" borderId="1" xfId="78" applyNumberFormat="1" applyFont="1" applyFill="1" applyBorder="1" applyAlignment="1">
      <alignment horizontal="right" vertical="center" wrapText="1"/>
    </xf>
    <xf numFmtId="4" fontId="104" fillId="0" borderId="1" xfId="78" applyNumberFormat="1" applyFont="1" applyFill="1" applyBorder="1" applyAlignment="1">
      <alignment vertical="center" wrapText="1"/>
    </xf>
    <xf numFmtId="4" fontId="104" fillId="0" borderId="17" xfId="78" applyNumberFormat="1" applyFont="1" applyFill="1" applyBorder="1" applyAlignment="1">
      <alignment vertical="center" wrapText="1"/>
    </xf>
    <xf numFmtId="4" fontId="107" fillId="0" borderId="5" xfId="80" applyNumberFormat="1" applyFont="1" applyFill="1" applyBorder="1" applyAlignment="1">
      <alignment horizontal="center" vertical="center" wrapText="1"/>
    </xf>
    <xf numFmtId="4" fontId="107" fillId="0" borderId="5" xfId="14" applyNumberFormat="1" applyFont="1" applyFill="1" applyBorder="1" applyAlignment="1">
      <alignment horizontal="right" vertical="center" wrapText="1" shrinkToFit="1"/>
    </xf>
    <xf numFmtId="4" fontId="107" fillId="0" borderId="5" xfId="81" applyNumberFormat="1" applyFont="1" applyFill="1" applyBorder="1" applyAlignment="1">
      <alignment horizontal="right" vertical="center" wrapText="1"/>
    </xf>
    <xf numFmtId="4" fontId="107" fillId="0" borderId="5" xfId="80" applyNumberFormat="1" applyFont="1" applyFill="1" applyBorder="1" applyAlignment="1">
      <alignment horizontal="right" vertical="center" wrapText="1"/>
    </xf>
    <xf numFmtId="4" fontId="107" fillId="0" borderId="5" xfId="78" applyNumberFormat="1" applyFont="1" applyFill="1" applyBorder="1" applyAlignment="1">
      <alignment horizontal="right" vertical="center" wrapText="1"/>
    </xf>
    <xf numFmtId="0" fontId="107" fillId="0" borderId="5" xfId="0" applyFont="1" applyFill="1" applyBorder="1" applyAlignment="1">
      <alignment vertical="center"/>
    </xf>
    <xf numFmtId="0" fontId="107" fillId="0" borderId="0" xfId="0" applyFont="1" applyFill="1" applyBorder="1" applyAlignment="1">
      <alignment horizontal="center" vertical="center" wrapText="1"/>
    </xf>
    <xf numFmtId="0" fontId="108" fillId="0" borderId="0" xfId="0" applyFont="1" applyFill="1"/>
    <xf numFmtId="4" fontId="107" fillId="0" borderId="17" xfId="80" applyNumberFormat="1" applyFont="1" applyFill="1" applyBorder="1" applyAlignment="1">
      <alignment horizontal="center" vertical="center" wrapText="1"/>
    </xf>
    <xf numFmtId="4" fontId="107" fillId="0" borderId="17" xfId="14" applyNumberFormat="1" applyFont="1" applyFill="1" applyBorder="1" applyAlignment="1">
      <alignment horizontal="right" vertical="center" wrapText="1" shrinkToFit="1"/>
    </xf>
    <xf numFmtId="4" fontId="107" fillId="0" borderId="17" xfId="81" applyNumberFormat="1" applyFont="1" applyFill="1" applyBorder="1" applyAlignment="1">
      <alignment horizontal="right" vertical="center" wrapText="1"/>
    </xf>
    <xf numFmtId="4" fontId="107" fillId="0" borderId="17" xfId="80" applyNumberFormat="1" applyFont="1" applyFill="1" applyBorder="1" applyAlignment="1">
      <alignment horizontal="right" vertical="center" wrapText="1"/>
    </xf>
    <xf numFmtId="4" fontId="107" fillId="0" borderId="17" xfId="78" applyNumberFormat="1" applyFont="1" applyFill="1" applyBorder="1" applyAlignment="1">
      <alignment horizontal="right" vertical="center" wrapText="1"/>
    </xf>
    <xf numFmtId="4" fontId="104" fillId="0" borderId="4" xfId="0" applyNumberFormat="1" applyFont="1" applyFill="1" applyBorder="1" applyAlignment="1">
      <alignment horizontal="left" vertical="center" wrapText="1"/>
    </xf>
    <xf numFmtId="4" fontId="104" fillId="0" borderId="4" xfId="0" applyNumberFormat="1" applyFont="1" applyFill="1" applyBorder="1" applyAlignment="1">
      <alignment vertical="center" wrapText="1"/>
    </xf>
    <xf numFmtId="0" fontId="104" fillId="0" borderId="4" xfId="0" applyFont="1" applyFill="1" applyBorder="1" applyAlignment="1">
      <alignment horizontal="left" vertical="center" wrapText="1" shrinkToFit="1"/>
    </xf>
    <xf numFmtId="0" fontId="104" fillId="0" borderId="0" xfId="0" applyFont="1" applyFill="1" applyBorder="1" applyAlignment="1">
      <alignment horizontal="center" vertical="center" wrapText="1"/>
    </xf>
    <xf numFmtId="0" fontId="105" fillId="0" borderId="0" xfId="0" applyFont="1" applyFill="1"/>
    <xf numFmtId="0" fontId="104" fillId="0" borderId="4" xfId="0" applyFont="1" applyFill="1" applyBorder="1" applyAlignment="1">
      <alignment horizontal="left" vertical="center" wrapText="1"/>
    </xf>
    <xf numFmtId="0" fontId="104" fillId="0" borderId="13" xfId="34" applyFont="1" applyFill="1" applyBorder="1" applyAlignment="1">
      <alignment horizontal="center" vertical="center" wrapText="1"/>
    </xf>
    <xf numFmtId="4" fontId="104" fillId="0" borderId="13" xfId="34" applyNumberFormat="1" applyFont="1" applyFill="1" applyBorder="1" applyAlignment="1">
      <alignment horizontal="left" vertical="center" wrapText="1"/>
    </xf>
    <xf numFmtId="4" fontId="104" fillId="0" borderId="13" xfId="80" applyNumberFormat="1" applyFont="1" applyFill="1" applyBorder="1" applyAlignment="1">
      <alignment horizontal="center" vertical="center" wrapText="1"/>
    </xf>
    <xf numFmtId="0" fontId="104" fillId="0" borderId="13" xfId="34" applyFont="1" applyFill="1" applyBorder="1" applyAlignment="1">
      <alignment horizontal="left" vertical="center" wrapText="1"/>
    </xf>
    <xf numFmtId="4" fontId="107" fillId="0" borderId="4" xfId="0" applyNumberFormat="1" applyFont="1" applyFill="1" applyBorder="1" applyAlignment="1">
      <alignment horizontal="left" vertical="center" wrapText="1"/>
    </xf>
    <xf numFmtId="2" fontId="104" fillId="0" borderId="4" xfId="0" applyNumberFormat="1" applyFont="1" applyFill="1" applyBorder="1" applyAlignment="1">
      <alignment horizontal="center" vertical="center"/>
    </xf>
    <xf numFmtId="2" fontId="104" fillId="0" borderId="4" xfId="0" applyNumberFormat="1" applyFont="1" applyFill="1" applyBorder="1" applyAlignment="1">
      <alignment vertical="center" wrapText="1" shrinkToFit="1"/>
    </xf>
    <xf numFmtId="0" fontId="107" fillId="0" borderId="4" xfId="0" applyFont="1" applyFill="1" applyBorder="1" applyAlignment="1">
      <alignment horizontal="center" vertical="center" wrapText="1" shrinkToFit="1"/>
    </xf>
    <xf numFmtId="0" fontId="107" fillId="0" borderId="4" xfId="0" applyFont="1" applyFill="1" applyBorder="1" applyAlignment="1">
      <alignment horizontal="left" vertical="center" wrapText="1"/>
    </xf>
    <xf numFmtId="2" fontId="104" fillId="0" borderId="4" xfId="0" applyNumberFormat="1" applyFont="1" applyFill="1" applyBorder="1" applyAlignment="1">
      <alignment horizontal="center" vertical="center" wrapText="1" shrinkToFit="1"/>
    </xf>
    <xf numFmtId="4" fontId="104" fillId="0" borderId="4" xfId="34" applyNumberFormat="1" applyFont="1" applyFill="1" applyBorder="1" applyAlignment="1">
      <alignment horizontal="left" vertical="center" wrapText="1"/>
    </xf>
    <xf numFmtId="1" fontId="104" fillId="0" borderId="4" xfId="91" applyNumberFormat="1" applyFont="1" applyFill="1" applyBorder="1" applyAlignment="1">
      <alignment horizontal="left" vertical="center" wrapText="1"/>
    </xf>
    <xf numFmtId="0" fontId="106" fillId="0" borderId="13" xfId="34" applyFont="1" applyFill="1" applyBorder="1" applyAlignment="1">
      <alignment horizontal="center" vertical="center" wrapText="1"/>
    </xf>
    <xf numFmtId="4" fontId="106" fillId="0" borderId="13" xfId="34" applyNumberFormat="1" applyFont="1" applyFill="1" applyBorder="1" applyAlignment="1">
      <alignment horizontal="left" vertical="center" wrapText="1"/>
    </xf>
    <xf numFmtId="4" fontId="106" fillId="0" borderId="13" xfId="80" applyNumberFormat="1" applyFont="1" applyFill="1" applyBorder="1" applyAlignment="1">
      <alignment horizontal="center" vertical="center" wrapText="1"/>
    </xf>
    <xf numFmtId="4" fontId="106" fillId="0" borderId="4" xfId="14" applyNumberFormat="1" applyFont="1" applyFill="1" applyBorder="1" applyAlignment="1">
      <alignment horizontal="right" vertical="center" wrapText="1" shrinkToFit="1"/>
    </xf>
    <xf numFmtId="4" fontId="106" fillId="0" borderId="4" xfId="81" applyNumberFormat="1" applyFont="1" applyFill="1" applyBorder="1" applyAlignment="1">
      <alignment horizontal="right" vertical="center" wrapText="1"/>
    </xf>
    <xf numFmtId="4" fontId="106" fillId="0" borderId="4" xfId="80" applyNumberFormat="1" applyFont="1" applyFill="1" applyBorder="1" applyAlignment="1">
      <alignment horizontal="right" vertical="center" wrapText="1"/>
    </xf>
    <xf numFmtId="4" fontId="106" fillId="0" borderId="4" xfId="78" applyNumberFormat="1" applyFont="1" applyFill="1" applyBorder="1" applyAlignment="1">
      <alignment horizontal="right" vertical="center" wrapText="1"/>
    </xf>
    <xf numFmtId="4" fontId="106" fillId="0" borderId="4" xfId="34" applyNumberFormat="1" applyFont="1" applyFill="1" applyBorder="1" applyAlignment="1">
      <alignment vertical="center" wrapText="1"/>
    </xf>
    <xf numFmtId="0" fontId="106" fillId="0" borderId="13" xfId="34" applyFont="1" applyFill="1" applyBorder="1" applyAlignment="1">
      <alignment horizontal="left" vertical="center" wrapText="1"/>
    </xf>
    <xf numFmtId="0" fontId="109" fillId="0" borderId="0" xfId="34" applyFont="1" applyFill="1"/>
    <xf numFmtId="0" fontId="104" fillId="0" borderId="19" xfId="34" applyFont="1" applyFill="1" applyBorder="1" applyAlignment="1">
      <alignment horizontal="center" vertical="center" wrapText="1"/>
    </xf>
    <xf numFmtId="0" fontId="106" fillId="0" borderId="4" xfId="34" applyFont="1" applyFill="1" applyBorder="1" applyAlignment="1">
      <alignment horizontal="center" vertical="center" wrapText="1"/>
    </xf>
    <xf numFmtId="4" fontId="106" fillId="0" borderId="4" xfId="34" applyNumberFormat="1" applyFont="1" applyFill="1" applyBorder="1" applyAlignment="1">
      <alignment horizontal="left" vertical="center" wrapText="1"/>
    </xf>
    <xf numFmtId="4" fontId="106" fillId="0" borderId="4" xfId="80" applyNumberFormat="1" applyFont="1" applyFill="1" applyBorder="1" applyAlignment="1">
      <alignment horizontal="center" vertical="center" wrapText="1"/>
    </xf>
    <xf numFmtId="0" fontId="106" fillId="0" borderId="4" xfId="34" applyFont="1" applyFill="1" applyBorder="1" applyAlignment="1">
      <alignment horizontal="left" vertical="center" wrapText="1"/>
    </xf>
    <xf numFmtId="0" fontId="104" fillId="0" borderId="19" xfId="0" applyFont="1" applyFill="1" applyBorder="1" applyAlignment="1">
      <alignment vertical="center" wrapText="1"/>
    </xf>
    <xf numFmtId="4" fontId="59" fillId="0" borderId="4" xfId="80" applyNumberFormat="1" applyFont="1" applyFill="1" applyBorder="1" applyAlignment="1">
      <alignment horizontal="center" vertical="center" wrapText="1"/>
    </xf>
    <xf numFmtId="3" fontId="104" fillId="0" borderId="13" xfId="80" applyNumberFormat="1" applyFont="1" applyFill="1" applyBorder="1" applyAlignment="1">
      <alignment horizontal="center" vertical="center" wrapText="1"/>
    </xf>
    <xf numFmtId="4" fontId="104" fillId="0" borderId="13" xfId="80" applyNumberFormat="1" applyFont="1" applyFill="1" applyBorder="1" applyAlignment="1">
      <alignment horizontal="left" vertical="center" wrapText="1"/>
    </xf>
    <xf numFmtId="4" fontId="104" fillId="0" borderId="4" xfId="78" applyNumberFormat="1" applyFont="1" applyFill="1" applyBorder="1" applyAlignment="1">
      <alignment horizontal="center" vertical="center" wrapText="1"/>
    </xf>
    <xf numFmtId="4" fontId="104" fillId="0" borderId="4" xfId="34" applyNumberFormat="1" applyFont="1" applyFill="1" applyBorder="1" applyAlignment="1">
      <alignment horizontal="left" vertical="center" wrapText="1" shrinkToFit="1"/>
    </xf>
    <xf numFmtId="4" fontId="104" fillId="0" borderId="4" xfId="81" applyNumberFormat="1" applyFont="1" applyFill="1" applyBorder="1" applyAlignment="1">
      <alignment horizontal="center" vertical="center" wrapText="1"/>
    </xf>
    <xf numFmtId="0" fontId="104" fillId="0" borderId="4" xfId="0" applyFont="1" applyFill="1" applyBorder="1" applyAlignment="1">
      <alignment vertical="center" wrapText="1"/>
    </xf>
    <xf numFmtId="3" fontId="104" fillId="0" borderId="4" xfId="78" applyNumberFormat="1" applyFont="1" applyFill="1" applyBorder="1" applyAlignment="1">
      <alignment horizontal="center" vertical="center" wrapText="1"/>
    </xf>
    <xf numFmtId="4" fontId="104" fillId="0" borderId="4" xfId="91" applyNumberFormat="1" applyFont="1" applyFill="1" applyBorder="1" applyAlignment="1">
      <alignment horizontal="center" vertical="center" wrapText="1"/>
    </xf>
    <xf numFmtId="4" fontId="104" fillId="0" borderId="4" xfId="88" applyNumberFormat="1" applyFont="1" applyFill="1" applyBorder="1" applyAlignment="1">
      <alignment horizontal="right" vertical="center" wrapText="1"/>
    </xf>
    <xf numFmtId="4" fontId="104" fillId="0" borderId="4" xfId="92" applyNumberFormat="1" applyFont="1" applyFill="1" applyBorder="1" applyAlignment="1">
      <alignment vertical="center" wrapText="1"/>
    </xf>
    <xf numFmtId="1" fontId="104" fillId="0" borderId="4" xfId="92" applyNumberFormat="1" applyFont="1" applyFill="1" applyBorder="1" applyAlignment="1">
      <alignment horizontal="left" vertical="center" wrapText="1"/>
    </xf>
    <xf numFmtId="4" fontId="103" fillId="0" borderId="4" xfId="34" applyNumberFormat="1" applyFont="1" applyFill="1" applyBorder="1" applyAlignment="1">
      <alignment horizontal="left" vertical="center" wrapText="1"/>
    </xf>
    <xf numFmtId="2" fontId="104" fillId="0" borderId="4" xfId="34" applyNumberFormat="1" applyFont="1" applyFill="1" applyBorder="1" applyAlignment="1">
      <alignment vertical="center" wrapText="1"/>
    </xf>
    <xf numFmtId="0" fontId="105" fillId="0" borderId="0" xfId="34" applyFont="1" applyFill="1" applyAlignment="1">
      <alignment vertical="center" wrapText="1"/>
    </xf>
    <xf numFmtId="4" fontId="103" fillId="0" borderId="4" xfId="34" applyNumberFormat="1" applyFont="1" applyFill="1" applyBorder="1" applyAlignment="1">
      <alignment horizontal="right" vertical="center" wrapText="1"/>
    </xf>
    <xf numFmtId="4" fontId="103" fillId="0" borderId="4" xfId="34" applyNumberFormat="1" applyFont="1" applyFill="1" applyBorder="1" applyAlignment="1">
      <alignment vertical="center" wrapText="1"/>
    </xf>
    <xf numFmtId="3" fontId="105" fillId="0" borderId="51" xfId="34" applyNumberFormat="1" applyFont="1" applyFill="1" applyBorder="1" applyAlignment="1">
      <alignment vertical="center"/>
    </xf>
    <xf numFmtId="0" fontId="105" fillId="0" borderId="0" xfId="34" applyFont="1" applyFill="1" applyAlignment="1">
      <alignment horizontal="left" vertical="center"/>
    </xf>
    <xf numFmtId="0" fontId="105" fillId="0" borderId="0" xfId="34" applyFont="1" applyFill="1" applyAlignment="1">
      <alignment horizontal="right"/>
    </xf>
    <xf numFmtId="4" fontId="105" fillId="0" borderId="0" xfId="34" applyNumberFormat="1" applyFont="1" applyFill="1" applyAlignment="1">
      <alignment horizontal="right"/>
    </xf>
    <xf numFmtId="0" fontId="105" fillId="0" borderId="0" xfId="34" applyFont="1" applyFill="1" applyAlignment="1"/>
    <xf numFmtId="3" fontId="105" fillId="0" borderId="0" xfId="34" applyNumberFormat="1" applyFont="1" applyFill="1" applyBorder="1" applyAlignment="1">
      <alignment vertical="center"/>
    </xf>
    <xf numFmtId="3" fontId="105" fillId="0" borderId="0" xfId="34" applyNumberFormat="1" applyFont="1" applyFill="1" applyAlignment="1">
      <alignment horizontal="left" vertical="center"/>
    </xf>
    <xf numFmtId="3" fontId="105" fillId="0" borderId="0" xfId="34" applyNumberFormat="1" applyFont="1" applyFill="1" applyAlignment="1">
      <alignment horizontal="center"/>
    </xf>
    <xf numFmtId="0" fontId="104" fillId="0" borderId="0" xfId="34" applyFont="1" applyFill="1" applyBorder="1" applyAlignment="1">
      <alignment horizontal="center" wrapText="1"/>
    </xf>
    <xf numFmtId="4" fontId="105" fillId="0" borderId="0" xfId="34" applyNumberFormat="1" applyFont="1" applyFill="1" applyAlignment="1">
      <alignment horizontal="left" vertical="center"/>
    </xf>
    <xf numFmtId="0" fontId="103" fillId="0" borderId="0" xfId="34" applyFont="1" applyFill="1" applyBorder="1" applyAlignment="1">
      <alignment horizontal="center"/>
    </xf>
    <xf numFmtId="3" fontId="105" fillId="0" borderId="0" xfId="34" applyNumberFormat="1" applyFont="1" applyFill="1" applyAlignment="1">
      <alignment vertical="center"/>
    </xf>
    <xf numFmtId="0" fontId="4" fillId="0" borderId="0" xfId="0" applyFont="1" applyBorder="1" applyAlignment="1">
      <alignment horizontal="center" vertical="center"/>
    </xf>
    <xf numFmtId="0" fontId="6" fillId="0" borderId="4" xfId="0" applyFont="1" applyBorder="1" applyAlignment="1">
      <alignment horizontal="center" vertical="center" wrapText="1"/>
    </xf>
    <xf numFmtId="0" fontId="104" fillId="0" borderId="4" xfId="34" applyFont="1" applyFill="1" applyBorder="1" applyAlignment="1">
      <alignment horizontal="center" vertical="center" wrapText="1"/>
    </xf>
    <xf numFmtId="0" fontId="104" fillId="0" borderId="4" xfId="34" applyFont="1" applyFill="1" applyBorder="1" applyAlignment="1">
      <alignment horizontal="left" vertical="center" wrapText="1"/>
    </xf>
    <xf numFmtId="4" fontId="104" fillId="5" borderId="4" xfId="80" applyNumberFormat="1" applyFont="1" applyFill="1" applyBorder="1" applyAlignment="1">
      <alignment horizontal="left" vertical="center" wrapText="1"/>
    </xf>
    <xf numFmtId="2" fontId="7" fillId="0" borderId="4" xfId="0" applyNumberFormat="1" applyFont="1" applyBorder="1"/>
    <xf numFmtId="0" fontId="6" fillId="0" borderId="4" xfId="0" applyFont="1" applyBorder="1" applyAlignment="1">
      <alignment horizontal="center" vertical="center"/>
    </xf>
    <xf numFmtId="0" fontId="12" fillId="4" borderId="19" xfId="95" applyFont="1" applyFill="1" applyBorder="1" applyAlignment="1">
      <alignment horizontal="center" vertical="center" wrapText="1"/>
    </xf>
    <xf numFmtId="0" fontId="12" fillId="4" borderId="20" xfId="95" applyFont="1" applyFill="1" applyBorder="1" applyAlignment="1">
      <alignment horizontal="center" vertical="center" wrapText="1"/>
    </xf>
    <xf numFmtId="0" fontId="12" fillId="4" borderId="4" xfId="95" applyFont="1" applyFill="1" applyBorder="1" applyAlignment="1">
      <alignment horizontal="center" vertical="center" wrapText="1"/>
    </xf>
    <xf numFmtId="0" fontId="4" fillId="0" borderId="0" xfId="0" applyFont="1" applyBorder="1" applyAlignment="1">
      <alignment horizontal="center" vertical="center"/>
    </xf>
    <xf numFmtId="0" fontId="6" fillId="0" borderId="4"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2" xfId="0" applyFont="1" applyBorder="1" applyAlignment="1">
      <alignment horizontal="center" vertical="center" wrapText="1"/>
    </xf>
    <xf numFmtId="0" fontId="73" fillId="0" borderId="4" xfId="0" applyFont="1" applyBorder="1" applyAlignment="1">
      <alignment horizontal="center" vertical="center"/>
    </xf>
    <xf numFmtId="0" fontId="6" fillId="0" borderId="0" xfId="32" applyFont="1" applyAlignment="1">
      <alignment horizontal="left" vertical="center"/>
    </xf>
    <xf numFmtId="0" fontId="6" fillId="0" borderId="0" xfId="32" applyFont="1" applyAlignment="1">
      <alignment horizontal="center" vertical="center" wrapText="1"/>
    </xf>
    <xf numFmtId="0" fontId="8" fillId="0" borderId="0" xfId="32" applyFont="1" applyBorder="1" applyAlignment="1">
      <alignment horizontal="right"/>
    </xf>
    <xf numFmtId="0" fontId="6" fillId="0" borderId="5" xfId="32" applyFont="1" applyBorder="1" applyAlignment="1">
      <alignment horizontal="center" vertical="center" wrapText="1"/>
    </xf>
    <xf numFmtId="0" fontId="6" fillId="0" borderId="1" xfId="32" applyFont="1" applyBorder="1" applyAlignment="1">
      <alignment horizontal="center" vertical="center" wrapText="1"/>
    </xf>
    <xf numFmtId="0" fontId="6" fillId="0" borderId="17" xfId="32" applyFont="1" applyBorder="1" applyAlignment="1">
      <alignment horizontal="center" vertical="center" wrapText="1"/>
    </xf>
    <xf numFmtId="0" fontId="75" fillId="0" borderId="25" xfId="0" applyFont="1" applyBorder="1" applyAlignment="1">
      <alignment horizontal="center" vertical="center" wrapText="1"/>
    </xf>
    <xf numFmtId="0" fontId="75" fillId="0" borderId="4" xfId="0" applyFont="1" applyBorder="1" applyAlignment="1">
      <alignment horizontal="center" vertical="center" wrapText="1"/>
    </xf>
    <xf numFmtId="0" fontId="75" fillId="0" borderId="4" xfId="0" applyFont="1" applyBorder="1" applyAlignment="1">
      <alignment horizontal="center" vertical="center"/>
    </xf>
    <xf numFmtId="0" fontId="5" fillId="0" borderId="23" xfId="0" applyFont="1" applyBorder="1" applyAlignment="1">
      <alignment horizontal="center" vertical="center"/>
    </xf>
    <xf numFmtId="0" fontId="12" fillId="0" borderId="0" xfId="0" applyFont="1" applyAlignment="1">
      <alignment horizontal="left"/>
    </xf>
    <xf numFmtId="0" fontId="12" fillId="0" borderId="0" xfId="0" applyFont="1" applyAlignment="1">
      <alignment horizontal="center"/>
    </xf>
    <xf numFmtId="0" fontId="13" fillId="0" borderId="25" xfId="0" applyFont="1" applyBorder="1" applyAlignment="1">
      <alignment horizontal="right"/>
    </xf>
    <xf numFmtId="0" fontId="12" fillId="0" borderId="1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4" xfId="0" applyFont="1" applyBorder="1" applyAlignment="1">
      <alignment horizontal="center" vertical="center" wrapText="1"/>
    </xf>
    <xf numFmtId="0" fontId="8" fillId="0" borderId="25" xfId="0" applyFont="1" applyBorder="1" applyAlignment="1">
      <alignment horizontal="right"/>
    </xf>
    <xf numFmtId="0" fontId="6" fillId="0" borderId="0" xfId="0" applyFont="1" applyAlignment="1">
      <alignment horizontal="center" vertical="center" wrapText="1"/>
    </xf>
    <xf numFmtId="0" fontId="6" fillId="0" borderId="0" xfId="0" applyFont="1" applyAlignment="1">
      <alignment horizontal="left"/>
    </xf>
    <xf numFmtId="0" fontId="6" fillId="0" borderId="25" xfId="0" applyFont="1" applyBorder="1" applyAlignment="1">
      <alignment horizontal="center"/>
    </xf>
    <xf numFmtId="0" fontId="8" fillId="0" borderId="13" xfId="0" applyFont="1" applyBorder="1" applyAlignment="1">
      <alignment horizontal="right"/>
    </xf>
    <xf numFmtId="0" fontId="6" fillId="4" borderId="4" xfId="0" applyFont="1" applyFill="1" applyBorder="1" applyAlignment="1">
      <alignment horizontal="center" vertical="center" wrapText="1"/>
    </xf>
    <xf numFmtId="3" fontId="104" fillId="0" borderId="19" xfId="80" applyNumberFormat="1" applyFont="1" applyFill="1" applyBorder="1" applyAlignment="1">
      <alignment horizontal="center" vertical="center" wrapText="1"/>
    </xf>
    <xf numFmtId="3" fontId="104" fillId="0" borderId="20" xfId="80" applyNumberFormat="1" applyFont="1" applyFill="1" applyBorder="1" applyAlignment="1">
      <alignment horizontal="center" vertical="center" wrapText="1"/>
    </xf>
    <xf numFmtId="3" fontId="104" fillId="0" borderId="13" xfId="80" applyNumberFormat="1" applyFont="1" applyFill="1" applyBorder="1" applyAlignment="1">
      <alignment horizontal="center" vertical="center" wrapText="1"/>
    </xf>
    <xf numFmtId="4" fontId="104" fillId="0" borderId="19" xfId="80" applyNumberFormat="1" applyFont="1" applyFill="1" applyBorder="1" applyAlignment="1">
      <alignment horizontal="center" vertical="center" wrapText="1"/>
    </xf>
    <xf numFmtId="4" fontId="104" fillId="0" borderId="20" xfId="80" applyNumberFormat="1" applyFont="1" applyFill="1" applyBorder="1" applyAlignment="1">
      <alignment horizontal="center" vertical="center" wrapText="1"/>
    </xf>
    <xf numFmtId="4" fontId="104" fillId="0" borderId="13" xfId="80" applyNumberFormat="1" applyFont="1" applyFill="1" applyBorder="1" applyAlignment="1">
      <alignment horizontal="center" vertical="center" wrapText="1"/>
    </xf>
    <xf numFmtId="0" fontId="104" fillId="0" borderId="19" xfId="34" applyFont="1" applyFill="1" applyBorder="1" applyAlignment="1">
      <alignment horizontal="center" vertical="center" wrapText="1"/>
    </xf>
    <xf numFmtId="0" fontId="104" fillId="0" borderId="20" xfId="34" applyFont="1" applyFill="1" applyBorder="1" applyAlignment="1">
      <alignment horizontal="center" vertical="center" wrapText="1"/>
    </xf>
    <xf numFmtId="0" fontId="104" fillId="0" borderId="13" xfId="34" applyFont="1" applyFill="1" applyBorder="1" applyAlignment="1">
      <alignment horizontal="center" vertical="center" wrapText="1"/>
    </xf>
    <xf numFmtId="4" fontId="104" fillId="0" borderId="19" xfId="80" applyNumberFormat="1" applyFont="1" applyFill="1" applyBorder="1" applyAlignment="1">
      <alignment horizontal="left" vertical="center" wrapText="1"/>
    </xf>
    <xf numFmtId="4" fontId="104" fillId="0" borderId="20" xfId="80" applyNumberFormat="1" applyFont="1" applyFill="1" applyBorder="1" applyAlignment="1">
      <alignment horizontal="left" vertical="center" wrapText="1"/>
    </xf>
    <xf numFmtId="4" fontId="104" fillId="0" borderId="13" xfId="80" applyNumberFormat="1" applyFont="1" applyFill="1" applyBorder="1" applyAlignment="1">
      <alignment horizontal="left" vertical="center" wrapText="1"/>
    </xf>
    <xf numFmtId="0" fontId="104" fillId="0" borderId="4" xfId="34" applyFont="1" applyFill="1" applyBorder="1" applyAlignment="1">
      <alignment horizontal="center" vertical="center" wrapText="1"/>
    </xf>
    <xf numFmtId="0" fontId="104" fillId="0" borderId="19" xfId="0" applyFont="1" applyFill="1" applyBorder="1" applyAlignment="1">
      <alignment horizontal="center" vertical="center" wrapText="1"/>
    </xf>
    <xf numFmtId="0" fontId="104" fillId="0" borderId="13" xfId="0" applyFont="1" applyFill="1" applyBorder="1" applyAlignment="1">
      <alignment horizontal="center" vertical="center" wrapText="1"/>
    </xf>
    <xf numFmtId="4" fontId="104" fillId="0" borderId="19" xfId="34" applyNumberFormat="1" applyFont="1" applyFill="1" applyBorder="1" applyAlignment="1">
      <alignment horizontal="center" vertical="center" wrapText="1"/>
    </xf>
    <xf numFmtId="4" fontId="104" fillId="0" borderId="13" xfId="34" applyNumberFormat="1" applyFont="1" applyFill="1" applyBorder="1" applyAlignment="1">
      <alignment horizontal="center" vertical="center" wrapText="1"/>
    </xf>
    <xf numFmtId="4" fontId="104" fillId="0" borderId="20" xfId="34" applyNumberFormat="1" applyFont="1" applyFill="1" applyBorder="1" applyAlignment="1">
      <alignment horizontal="center" vertical="center" wrapText="1"/>
    </xf>
    <xf numFmtId="4" fontId="104" fillId="0" borderId="19" xfId="34" applyNumberFormat="1" applyFont="1" applyFill="1" applyBorder="1" applyAlignment="1">
      <alignment horizontal="left" vertical="center" wrapText="1"/>
    </xf>
    <xf numFmtId="4" fontId="104" fillId="0" borderId="13" xfId="34" applyNumberFormat="1" applyFont="1" applyFill="1" applyBorder="1" applyAlignment="1">
      <alignment horizontal="left" vertical="center" wrapText="1"/>
    </xf>
    <xf numFmtId="0" fontId="104" fillId="0" borderId="5" xfId="34" applyFont="1" applyFill="1" applyBorder="1" applyAlignment="1">
      <alignment horizontal="left" vertical="center" wrapText="1"/>
    </xf>
    <xf numFmtId="0" fontId="104" fillId="0" borderId="1" xfId="34" applyFont="1" applyFill="1" applyBorder="1" applyAlignment="1">
      <alignment horizontal="left" vertical="center" wrapText="1"/>
    </xf>
    <xf numFmtId="0" fontId="104" fillId="0" borderId="17" xfId="34" applyFont="1" applyFill="1" applyBorder="1" applyAlignment="1">
      <alignment horizontal="left" vertical="center" wrapText="1"/>
    </xf>
    <xf numFmtId="0" fontId="104" fillId="0" borderId="4" xfId="34" applyFont="1" applyFill="1" applyBorder="1" applyAlignment="1">
      <alignment horizontal="left" vertical="center" wrapText="1"/>
    </xf>
    <xf numFmtId="0" fontId="104" fillId="0" borderId="19" xfId="34" applyFont="1" applyFill="1" applyBorder="1" applyAlignment="1">
      <alignment horizontal="left" vertical="center" wrapText="1"/>
    </xf>
    <xf numFmtId="0" fontId="104" fillId="0" borderId="13" xfId="34" applyFont="1" applyFill="1" applyBorder="1" applyAlignment="1">
      <alignment horizontal="left" vertical="center" wrapText="1"/>
    </xf>
    <xf numFmtId="0" fontId="104" fillId="0" borderId="4" xfId="34" applyFont="1" applyFill="1" applyBorder="1" applyAlignment="1">
      <alignment horizontal="left" vertical="center" wrapText="1" shrinkToFit="1"/>
    </xf>
    <xf numFmtId="0" fontId="104" fillId="0" borderId="19" xfId="34" applyFont="1" applyFill="1" applyBorder="1" applyAlignment="1">
      <alignment horizontal="center" vertical="center" wrapText="1" shrinkToFit="1"/>
    </xf>
    <xf numFmtId="0" fontId="104" fillId="0" borderId="20" xfId="34" applyFont="1" applyFill="1" applyBorder="1" applyAlignment="1">
      <alignment horizontal="center" vertical="center" wrapText="1" shrinkToFit="1"/>
    </xf>
    <xf numFmtId="0" fontId="104" fillId="0" borderId="13" xfId="34" applyFont="1" applyFill="1" applyBorder="1" applyAlignment="1">
      <alignment horizontal="center" vertical="center" wrapText="1" shrinkToFit="1"/>
    </xf>
    <xf numFmtId="1" fontId="104" fillId="0" borderId="4" xfId="91" applyNumberFormat="1" applyFont="1" applyFill="1" applyBorder="1" applyAlignment="1">
      <alignment horizontal="left" vertical="center" wrapText="1"/>
    </xf>
    <xf numFmtId="4" fontId="103" fillId="0" borderId="4" xfId="34" applyNumberFormat="1" applyFont="1" applyFill="1" applyBorder="1" applyAlignment="1">
      <alignment vertical="center" wrapText="1"/>
    </xf>
    <xf numFmtId="4" fontId="104" fillId="0" borderId="5" xfId="0" applyNumberFormat="1" applyFont="1" applyFill="1" applyBorder="1" applyAlignment="1">
      <alignment horizontal="left" vertical="center" wrapText="1"/>
    </xf>
    <xf numFmtId="4" fontId="104" fillId="0" borderId="17" xfId="0" applyNumberFormat="1" applyFont="1" applyFill="1" applyBorder="1" applyAlignment="1">
      <alignment horizontal="left" vertical="center" wrapText="1"/>
    </xf>
    <xf numFmtId="0" fontId="104" fillId="0" borderId="4" xfId="0" applyFont="1" applyFill="1" applyBorder="1" applyAlignment="1">
      <alignment horizontal="left" vertical="center" wrapText="1"/>
    </xf>
    <xf numFmtId="0" fontId="107" fillId="0" borderId="4" xfId="0" applyFont="1" applyFill="1" applyBorder="1" applyAlignment="1">
      <alignment horizontal="center" vertical="center" wrapText="1"/>
    </xf>
    <xf numFmtId="4" fontId="107" fillId="0" borderId="5" xfId="0" applyNumberFormat="1" applyFont="1" applyFill="1" applyBorder="1" applyAlignment="1">
      <alignment horizontal="left" vertical="center" wrapText="1"/>
    </xf>
    <xf numFmtId="4" fontId="107" fillId="0" borderId="17" xfId="0" applyNumberFormat="1" applyFont="1" applyFill="1" applyBorder="1" applyAlignment="1">
      <alignment horizontal="left" vertical="center" wrapText="1"/>
    </xf>
    <xf numFmtId="0" fontId="107" fillId="0" borderId="4" xfId="0" applyFont="1" applyFill="1" applyBorder="1" applyAlignment="1">
      <alignment horizontal="left" vertical="center" wrapText="1"/>
    </xf>
    <xf numFmtId="4" fontId="103" fillId="0" borderId="0" xfId="78" applyNumberFormat="1" applyFont="1" applyFill="1" applyBorder="1" applyAlignment="1">
      <alignment vertical="center" wrapText="1"/>
    </xf>
    <xf numFmtId="4" fontId="103" fillId="0" borderId="0" xfId="78" applyNumberFormat="1" applyFont="1" applyFill="1" applyBorder="1" applyAlignment="1">
      <alignment horizontal="left" vertical="center" wrapText="1"/>
    </xf>
    <xf numFmtId="4" fontId="103" fillId="0" borderId="0" xfId="78" applyNumberFormat="1" applyFont="1" applyFill="1" applyBorder="1" applyAlignment="1">
      <alignment horizontal="center" vertical="center" wrapText="1"/>
    </xf>
    <xf numFmtId="4" fontId="104" fillId="0" borderId="25" xfId="78" applyNumberFormat="1" applyFont="1" applyFill="1" applyBorder="1" applyAlignment="1">
      <alignment horizontal="right" vertical="center" wrapText="1"/>
    </xf>
    <xf numFmtId="3" fontId="103" fillId="0" borderId="20" xfId="78" applyNumberFormat="1" applyFont="1" applyFill="1" applyBorder="1" applyAlignment="1">
      <alignment horizontal="center" vertical="center" wrapText="1"/>
    </xf>
    <xf numFmtId="3" fontId="103" fillId="0" borderId="13" xfId="78" applyNumberFormat="1" applyFont="1" applyFill="1" applyBorder="1" applyAlignment="1">
      <alignment horizontal="center" vertical="center" wrapText="1"/>
    </xf>
    <xf numFmtId="4" fontId="103" fillId="0" borderId="20" xfId="78" applyNumberFormat="1" applyFont="1" applyFill="1" applyBorder="1" applyAlignment="1">
      <alignment horizontal="left" vertical="center" wrapText="1"/>
    </xf>
    <xf numFmtId="4" fontId="103" fillId="0" borderId="13" xfId="78" applyNumberFormat="1" applyFont="1" applyFill="1" applyBorder="1" applyAlignment="1">
      <alignment horizontal="left" vertical="center" wrapText="1"/>
    </xf>
    <xf numFmtId="4" fontId="103" fillId="0" borderId="20" xfId="78" applyNumberFormat="1" applyFont="1" applyFill="1" applyBorder="1" applyAlignment="1">
      <alignment horizontal="center" vertical="center" wrapText="1"/>
    </xf>
    <xf numFmtId="4" fontId="103" fillId="0" borderId="13" xfId="78" applyNumberFormat="1" applyFont="1" applyFill="1" applyBorder="1" applyAlignment="1">
      <alignment horizontal="center" vertical="center" wrapText="1"/>
    </xf>
    <xf numFmtId="4" fontId="103" fillId="0" borderId="16" xfId="78" applyNumberFormat="1" applyFont="1" applyFill="1" applyBorder="1" applyAlignment="1">
      <alignment horizontal="center" vertical="center" wrapText="1"/>
    </xf>
    <xf numFmtId="4" fontId="103" fillId="0" borderId="55" xfId="78" applyNumberFormat="1" applyFont="1" applyFill="1" applyBorder="1" applyAlignment="1">
      <alignment horizontal="center" vertical="center" wrapText="1"/>
    </xf>
    <xf numFmtId="4" fontId="103" fillId="0" borderId="22" xfId="78" applyNumberFormat="1" applyFont="1" applyFill="1" applyBorder="1" applyAlignment="1">
      <alignment horizontal="center" vertical="center" wrapText="1"/>
    </xf>
    <xf numFmtId="4" fontId="103" fillId="0" borderId="25" xfId="78" applyNumberFormat="1" applyFont="1" applyFill="1" applyBorder="1" applyAlignment="1">
      <alignment horizontal="center" vertical="center" wrapText="1"/>
    </xf>
    <xf numFmtId="4" fontId="103" fillId="0" borderId="15" xfId="78" applyNumberFormat="1" applyFont="1" applyFill="1" applyBorder="1" applyAlignment="1">
      <alignment horizontal="center" vertical="center" wrapText="1"/>
    </xf>
    <xf numFmtId="4" fontId="103" fillId="0" borderId="19" xfId="78" applyNumberFormat="1" applyFont="1" applyFill="1" applyBorder="1" applyAlignment="1">
      <alignment vertical="center" wrapText="1"/>
    </xf>
    <xf numFmtId="4" fontId="103" fillId="0" borderId="20" xfId="78" applyNumberFormat="1" applyFont="1" applyFill="1" applyBorder="1" applyAlignment="1">
      <alignment vertical="center" wrapText="1"/>
    </xf>
    <xf numFmtId="4" fontId="103" fillId="0" borderId="13" xfId="78" applyNumberFormat="1" applyFont="1" applyFill="1" applyBorder="1" applyAlignment="1">
      <alignment vertical="center" wrapText="1"/>
    </xf>
    <xf numFmtId="0" fontId="103" fillId="0" borderId="19" xfId="34" applyFont="1" applyFill="1" applyBorder="1" applyAlignment="1">
      <alignment horizontal="left" vertical="center" wrapText="1"/>
    </xf>
    <xf numFmtId="0" fontId="103" fillId="0" borderId="20" xfId="34" applyFont="1" applyFill="1" applyBorder="1" applyAlignment="1">
      <alignment horizontal="left" vertical="center" wrapText="1"/>
    </xf>
    <xf numFmtId="4" fontId="103" fillId="0" borderId="26" xfId="78" applyNumberFormat="1" applyFont="1" applyFill="1" applyBorder="1" applyAlignment="1">
      <alignment horizontal="center" vertical="center" wrapText="1"/>
    </xf>
    <xf numFmtId="4" fontId="103" fillId="0" borderId="3" xfId="78" applyNumberFormat="1" applyFont="1" applyFill="1" applyBorder="1" applyAlignment="1">
      <alignment horizontal="center" vertical="center" wrapText="1"/>
    </xf>
    <xf numFmtId="4" fontId="103" fillId="0" borderId="24" xfId="78" applyNumberFormat="1" applyFont="1" applyFill="1" applyBorder="1" applyAlignment="1">
      <alignment horizontal="center" vertical="center" wrapText="1"/>
    </xf>
    <xf numFmtId="0" fontId="6" fillId="0" borderId="0" xfId="95" applyFont="1" applyFill="1" applyAlignment="1">
      <alignment horizontal="left" vertical="center"/>
    </xf>
    <xf numFmtId="0" fontId="6" fillId="0" borderId="0" xfId="95" applyFont="1" applyFill="1" applyAlignment="1">
      <alignment horizontal="center" vertical="center"/>
    </xf>
    <xf numFmtId="0" fontId="8" fillId="0" borderId="25" xfId="95" applyFont="1" applyFill="1" applyBorder="1" applyAlignment="1">
      <alignment horizontal="right" vertical="center"/>
    </xf>
    <xf numFmtId="0" fontId="6" fillId="6" borderId="4" xfId="95" applyFont="1" applyFill="1" applyBorder="1" applyAlignment="1">
      <alignment horizontal="center" vertical="center" wrapText="1"/>
    </xf>
    <xf numFmtId="0" fontId="7" fillId="6" borderId="4" xfId="95" applyFont="1" applyFill="1" applyBorder="1" applyAlignment="1">
      <alignment horizontal="center" vertical="center" wrapText="1"/>
    </xf>
    <xf numFmtId="0" fontId="6" fillId="4" borderId="4" xfId="95" applyFont="1" applyFill="1" applyBorder="1" applyAlignment="1">
      <alignment horizontal="center" vertical="center" wrapText="1"/>
    </xf>
    <xf numFmtId="0" fontId="6" fillId="4" borderId="0" xfId="0" applyFont="1" applyFill="1" applyAlignment="1">
      <alignment horizontal="center"/>
    </xf>
    <xf numFmtId="0" fontId="28" fillId="4" borderId="25" xfId="0" applyFont="1" applyFill="1" applyBorder="1" applyAlignment="1">
      <alignment horizontal="right"/>
    </xf>
    <xf numFmtId="0" fontId="6" fillId="0" borderId="0" xfId="0" applyFont="1" applyAlignment="1">
      <alignment horizontal="center"/>
    </xf>
    <xf numFmtId="0" fontId="70" fillId="0" borderId="25" xfId="0" applyFont="1" applyBorder="1" applyAlignment="1">
      <alignment horizontal="right"/>
    </xf>
    <xf numFmtId="0" fontId="71" fillId="0" borderId="0" xfId="0" applyFont="1" applyAlignment="1">
      <alignment horizontal="center"/>
    </xf>
    <xf numFmtId="0" fontId="6" fillId="0" borderId="37"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7" xfId="0" applyFont="1" applyBorder="1" applyAlignment="1">
      <alignment vertical="center" wrapText="1"/>
    </xf>
    <xf numFmtId="0" fontId="6" fillId="0" borderId="33" xfId="0" applyFont="1" applyBorder="1" applyAlignment="1">
      <alignment vertical="center" wrapText="1"/>
    </xf>
    <xf numFmtId="0" fontId="7" fillId="0" borderId="37"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33" xfId="0" applyFont="1" applyBorder="1" applyAlignment="1">
      <alignment horizontal="center" vertical="center" wrapText="1"/>
    </xf>
    <xf numFmtId="0" fontId="8" fillId="0" borderId="37" xfId="0" applyFont="1" applyBorder="1" applyAlignment="1">
      <alignment vertical="center" wrapText="1"/>
    </xf>
    <xf numFmtId="0" fontId="8" fillId="0" borderId="33" xfId="0" applyFont="1" applyBorder="1" applyAlignment="1">
      <alignment vertical="center" wrapText="1"/>
    </xf>
    <xf numFmtId="0" fontId="7" fillId="0" borderId="37" xfId="0" applyFont="1" applyBorder="1" applyAlignment="1">
      <alignment vertical="center" wrapText="1"/>
    </xf>
    <xf numFmtId="0" fontId="7" fillId="0" borderId="33" xfId="0" applyFont="1" applyBorder="1" applyAlignment="1">
      <alignment vertical="center" wrapText="1"/>
    </xf>
  </cellXfs>
  <cellStyles count="174">
    <cellStyle name="1" xfId="1"/>
    <cellStyle name="1_Book1" xfId="2"/>
    <cellStyle name="2" xfId="3"/>
    <cellStyle name="20% - Accent1 2" xfId="98"/>
    <cellStyle name="20% - Accent2 2" xfId="99"/>
    <cellStyle name="20% - Accent3 2" xfId="100"/>
    <cellStyle name="20% - Accent4 2" xfId="101"/>
    <cellStyle name="20% - Accent5 2" xfId="102"/>
    <cellStyle name="20% - Accent6 2" xfId="103"/>
    <cellStyle name="3" xfId="4"/>
    <cellStyle name="4" xfId="5"/>
    <cellStyle name="40% - Accent1 2" xfId="104"/>
    <cellStyle name="40% - Accent2 2" xfId="105"/>
    <cellStyle name="40% - Accent3 2" xfId="106"/>
    <cellStyle name="40% - Accent4 2" xfId="107"/>
    <cellStyle name="40% - Accent5 2" xfId="108"/>
    <cellStyle name="40% - Accent6 2" xfId="109"/>
    <cellStyle name="60% - Accent1 2" xfId="110"/>
    <cellStyle name="60% - Accent2 2" xfId="111"/>
    <cellStyle name="60% - Accent3 2" xfId="112"/>
    <cellStyle name="60% - Accent4 2" xfId="113"/>
    <cellStyle name="60% - Accent5 2" xfId="114"/>
    <cellStyle name="60% - Accent6 2" xfId="115"/>
    <cellStyle name="Accent1 2" xfId="116"/>
    <cellStyle name="Accent2 2" xfId="117"/>
    <cellStyle name="Accent3 2" xfId="118"/>
    <cellStyle name="Accent4 2" xfId="119"/>
    <cellStyle name="Accent5 2" xfId="120"/>
    <cellStyle name="Accent6 2" xfId="121"/>
    <cellStyle name="AeE­ [0]_INQUIRY ¿µ¾÷AßAø " xfId="6"/>
    <cellStyle name="AeE­_INQUIRY ¿µ¾÷AßAø " xfId="7"/>
    <cellStyle name="AÞ¸¶ [0]_INQUIRY ¿?¾÷AßAø " xfId="8"/>
    <cellStyle name="AÞ¸¶_INQUIRY ¿?¾÷AßAø " xfId="9"/>
    <cellStyle name="AutoFormat-Optionen" xfId="93"/>
    <cellStyle name="Bad 2" xfId="122"/>
    <cellStyle name="C?AØ_¿?¾÷CoE² " xfId="10"/>
    <cellStyle name="C￥AØ_¿μ¾÷CoE² " xfId="11"/>
    <cellStyle name="Calculation 2" xfId="123"/>
    <cellStyle name="Check Cell 2" xfId="124"/>
    <cellStyle name="Comma" xfId="12" builtinId="3"/>
    <cellStyle name="Comma 10" xfId="172"/>
    <cellStyle name="Comma 2" xfId="13"/>
    <cellStyle name="Comma 2 4" xfId="14"/>
    <cellStyle name="Comma 3" xfId="15"/>
    <cellStyle name="Comma 3 2" xfId="125"/>
    <cellStyle name="Comma 4" xfId="76"/>
    <cellStyle name="Comma 4 2" xfId="126"/>
    <cellStyle name="Comma 5" xfId="16"/>
    <cellStyle name="Comma 5 2" xfId="96"/>
    <cellStyle name="Comma 5 2 2" xfId="127"/>
    <cellStyle name="Comma 5 3" xfId="128"/>
    <cellStyle name="Comma 5 4" xfId="129"/>
    <cellStyle name="Comma 6" xfId="79"/>
    <cellStyle name="Comma 6 2" xfId="130"/>
    <cellStyle name="Comma 6 3" xfId="131"/>
    <cellStyle name="Comma 6 4" xfId="132"/>
    <cellStyle name="Comma 7" xfId="17"/>
    <cellStyle name="Comma 8" xfId="133"/>
    <cellStyle name="Comma 9" xfId="134"/>
    <cellStyle name="Comma0" xfId="18"/>
    <cellStyle name="Comma0 2" xfId="135"/>
    <cellStyle name="Comma0 3" xfId="136"/>
    <cellStyle name="Currency0" xfId="19"/>
    <cellStyle name="Currency0 2" xfId="137"/>
    <cellStyle name="Currency0 3" xfId="138"/>
    <cellStyle name="Date" xfId="20"/>
    <cellStyle name="Date 2" xfId="139"/>
    <cellStyle name="Date 3" xfId="140"/>
    <cellStyle name="Dấu_phảy 2" xfId="94"/>
    <cellStyle name="Explanatory Text 2" xfId="141"/>
    <cellStyle name="Fixed" xfId="21"/>
    <cellStyle name="Fixed 2" xfId="142"/>
    <cellStyle name="Fixed 3" xfId="143"/>
    <cellStyle name="Good 2" xfId="144"/>
    <cellStyle name="Grey" xfId="22"/>
    <cellStyle name="Header1" xfId="23"/>
    <cellStyle name="Header2" xfId="24"/>
    <cellStyle name="Heading 1 2" xfId="145"/>
    <cellStyle name="Heading 2 2" xfId="146"/>
    <cellStyle name="Heading 3 2" xfId="147"/>
    <cellStyle name="Heading 4 2" xfId="148"/>
    <cellStyle name="Hoa-Scholl" xfId="25"/>
    <cellStyle name="Hyperlink 2" xfId="26"/>
    <cellStyle name="Input [yellow]" xfId="27"/>
    <cellStyle name="Input 2" xfId="149"/>
    <cellStyle name="Input 3" xfId="150"/>
    <cellStyle name="Input 4" xfId="151"/>
    <cellStyle name="Input 5" xfId="152"/>
    <cellStyle name="Input 6" xfId="153"/>
    <cellStyle name="Linked Cell 2" xfId="154"/>
    <cellStyle name="moi" xfId="28"/>
    <cellStyle name="n" xfId="29"/>
    <cellStyle name="Neutral 2" xfId="155"/>
    <cellStyle name="Normal" xfId="0" builtinId="0"/>
    <cellStyle name="Normal - Style1" xfId="30"/>
    <cellStyle name="Normal - Style1 2" xfId="156"/>
    <cellStyle name="Normal 10" xfId="157"/>
    <cellStyle name="Normal 11" xfId="158"/>
    <cellStyle name="Normal 11 2" xfId="31"/>
    <cellStyle name="Normal 12" xfId="159"/>
    <cellStyle name="Normal 13" xfId="32"/>
    <cellStyle name="Normal 13 2" xfId="95"/>
    <cellStyle name="Normal 15" xfId="33"/>
    <cellStyle name="Normal 15 2" xfId="86"/>
    <cellStyle name="Normal 16" xfId="34"/>
    <cellStyle name="Normal 17" xfId="77"/>
    <cellStyle name="Normal 19" xfId="35"/>
    <cellStyle name="Normal 19 2" xfId="91"/>
    <cellStyle name="Normal 2" xfId="71"/>
    <cellStyle name="Normal 2 2" xfId="89"/>
    <cellStyle name="Normal 2 4" xfId="36"/>
    <cellStyle name="Normal 21" xfId="37"/>
    <cellStyle name="Normal 21 2" xfId="82"/>
    <cellStyle name="Normal 23" xfId="38"/>
    <cellStyle name="Normal 23 2" xfId="88"/>
    <cellStyle name="Normal 26" xfId="39"/>
    <cellStyle name="Normal 26 2" xfId="83"/>
    <cellStyle name="Normal 28" xfId="40"/>
    <cellStyle name="Normal 28 2" xfId="87"/>
    <cellStyle name="Normal 29" xfId="41"/>
    <cellStyle name="Normal 29 2" xfId="85"/>
    <cellStyle name="Normal 3" xfId="72"/>
    <cellStyle name="Normal 30" xfId="42"/>
    <cellStyle name="Normal 30 2" xfId="81"/>
    <cellStyle name="Normal 31" xfId="43"/>
    <cellStyle name="Normal 31 2" xfId="84"/>
    <cellStyle name="Normal 32" xfId="44"/>
    <cellStyle name="Normal 32 2" xfId="92"/>
    <cellStyle name="Normal 4" xfId="45"/>
    <cellStyle name="Normal 4 2" xfId="78"/>
    <cellStyle name="Normal 5" xfId="73"/>
    <cellStyle name="Normal 5 2" xfId="90"/>
    <cellStyle name="Normal 5 2 2" xfId="97"/>
    <cellStyle name="Normal 5 2 2 2" xfId="173"/>
    <cellStyle name="Normal 6" xfId="74"/>
    <cellStyle name="Normal 7" xfId="75"/>
    <cellStyle name="Normal 8" xfId="160"/>
    <cellStyle name="Normal 9" xfId="161"/>
    <cellStyle name="Normal_Bieu 10 2" xfId="80"/>
    <cellStyle name="Normal_QHMau" xfId="46"/>
    <cellStyle name="Normal_Sheet1" xfId="47"/>
    <cellStyle name="Normal_TT.GR HT-QH " xfId="48"/>
    <cellStyle name="Note 2" xfId="162"/>
    <cellStyle name="Œ…‹æØ‚è [0.00]_ÆÂ¹²" xfId="49"/>
    <cellStyle name="Output 2" xfId="163"/>
    <cellStyle name="Percent [2]" xfId="50"/>
    <cellStyle name="Percent 2" xfId="164"/>
    <cellStyle name="Percent 3" xfId="165"/>
    <cellStyle name="Percent 4" xfId="166"/>
    <cellStyle name="Percent 5" xfId="167"/>
    <cellStyle name="Percent 6" xfId="168"/>
    <cellStyle name="Title 2" xfId="169"/>
    <cellStyle name="Total 2" xfId="170"/>
    <cellStyle name="Warning Text 2" xfId="171"/>
    <cellStyle name=" [0.00]_ Att. 1- Cover" xfId="68"/>
    <cellStyle name="_ Att. 1- Cover" xfId="69"/>
    <cellStyle name="?_ Att. 1- Cover" xfId="70"/>
    <cellStyle name="똿뗦먛귟 [0.00]_PRODUCT DETAIL Q1" xfId="51"/>
    <cellStyle name="똿뗦먛귟_PRODUCT DETAIL Q1" xfId="52"/>
    <cellStyle name="믅됞 [0.00]_PRODUCT DETAIL Q1" xfId="53"/>
    <cellStyle name="믅됞_PRODUCT DETAIL Q1" xfId="54"/>
    <cellStyle name="백분율_95" xfId="55"/>
    <cellStyle name="뷭?_BOOKSHIP" xfId="56"/>
    <cellStyle name="콤마 [0]_1202" xfId="60"/>
    <cellStyle name="콤마_1202" xfId="61"/>
    <cellStyle name="통화 [0]_1202" xfId="62"/>
    <cellStyle name="통화_1202" xfId="63"/>
    <cellStyle name="표준_(정보부문)월별인원계획" xfId="64"/>
    <cellStyle name="一般_00Q3902REV.1" xfId="57"/>
    <cellStyle name="千分位[0]_00Q3902REV.1" xfId="58"/>
    <cellStyle name="千分位_00Q3902REV.1" xfId="59"/>
    <cellStyle name="貨幣 [0]_00Q3902REV.1" xfId="65"/>
    <cellStyle name="貨幣[0]_BRE" xfId="66"/>
    <cellStyle name="貨幣_00Q3902REV.1" xfId="6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'ss đcqh'!$H$6</c:f>
              <c:strCache>
                <c:ptCount val="1"/>
                <c:pt idx="0">
                  <c:v>Chỉ tiêu điều chỉnh quy hoạch đến 2020</c:v>
                </c:pt>
              </c:strCache>
            </c:strRef>
          </c:tx>
          <c:invertIfNegative val="0"/>
          <c:dLbls>
            <c:dLbl>
              <c:idx val="0"/>
              <c:layout>
                <c:manualLayout>
                  <c:x val="-3.6111111111111115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2A0-4BB8-8A69-EEBDA9926F90}"/>
                </c:ext>
              </c:extLst>
            </c:dLbl>
            <c:dLbl>
              <c:idx val="1"/>
              <c:layout>
                <c:manualLayout>
                  <c:x val="-4.7222222222222276E-2"/>
                  <c:y val="4.6296296296295444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2A0-4BB8-8A69-EEBDA9926F90}"/>
                </c:ext>
              </c:extLst>
            </c:dLbl>
            <c:dLbl>
              <c:idx val="2"/>
              <c:layout>
                <c:manualLayout>
                  <c:x val="-3.888888888888889E-2"/>
                  <c:y val="1.388888888888888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22A0-4BB8-8A69-EEBDA9926F90}"/>
                </c:ext>
              </c:extLst>
            </c:dLbl>
            <c:spPr>
              <a:noFill/>
              <a:ln>
                <a:noFill/>
              </a:ln>
              <a:effectLst/>
            </c:spPr>
            <c:txPr>
              <a:bodyPr/>
              <a:lstStyle/>
              <a:p>
                <a:pPr>
                  <a:defRPr sz="12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'ss đcqh'!$G$7:$G$9</c:f>
              <c:strCache>
                <c:ptCount val="3"/>
                <c:pt idx="0">
                  <c:v>Đất nông nghiệp</c:v>
                </c:pt>
                <c:pt idx="1">
                  <c:v>Đất phi nông nghiệp</c:v>
                </c:pt>
                <c:pt idx="2">
                  <c:v>Đất chưa sử dụng</c:v>
                </c:pt>
              </c:strCache>
            </c:strRef>
          </c:cat>
          <c:val>
            <c:numRef>
              <c:f>'ss đcqh'!$H$7:$H$9</c:f>
              <c:numCache>
                <c:formatCode>#,##0.00</c:formatCode>
                <c:ptCount val="3"/>
                <c:pt idx="0">
                  <c:v>133277.03</c:v>
                </c:pt>
                <c:pt idx="1">
                  <c:v>9759.39</c:v>
                </c:pt>
                <c:pt idx="2">
                  <c:v>136.43999999999988</c:v>
                </c:pt>
              </c:numCache>
            </c:numRef>
          </c:val>
          <c:extLst xmlns:c16r2="http://schemas.microsoft.com/office/drawing/2015/06/chart">
            <c:ext xmlns:c16="http://schemas.microsoft.com/office/drawing/2014/chart" uri="{C3380CC4-5D6E-409C-BE32-E72D297353CC}">
              <c16:uniqueId val="{00000003-22A0-4BB8-8A69-EEBDA9926F90}"/>
            </c:ext>
          </c:extLst>
        </c:ser>
        <c:ser>
          <c:idx val="1"/>
          <c:order val="1"/>
          <c:tx>
            <c:strRef>
              <c:f>'ss đcqh'!$I$6</c:f>
              <c:strCache>
                <c:ptCount val="1"/>
                <c:pt idx="0">
                  <c:v>Kế hoạch sử dụng đất năm 2022</c:v>
                </c:pt>
              </c:strCache>
            </c:strRef>
          </c:tx>
          <c:invertIfNegative val="0"/>
          <c:dLbls>
            <c:dLbl>
              <c:idx val="0"/>
              <c:layout>
                <c:manualLayout>
                  <c:x val="6.6666666666666638E-2"/>
                  <c:y val="9.2592592592592587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2A0-4BB8-8A69-EEBDA9926F90}"/>
                </c:ext>
              </c:extLst>
            </c:dLbl>
            <c:spPr>
              <a:noFill/>
              <a:ln>
                <a:noFill/>
              </a:ln>
              <a:effectLst/>
            </c:spPr>
            <c:txPr>
              <a:bodyPr/>
              <a:lstStyle/>
              <a:p>
                <a:pPr>
                  <a:defRPr sz="12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'ss đcqh'!$G$7:$G$9</c:f>
              <c:strCache>
                <c:ptCount val="3"/>
                <c:pt idx="0">
                  <c:v>Đất nông nghiệp</c:v>
                </c:pt>
                <c:pt idx="1">
                  <c:v>Đất phi nông nghiệp</c:v>
                </c:pt>
                <c:pt idx="2">
                  <c:v>Đất chưa sử dụng</c:v>
                </c:pt>
              </c:strCache>
            </c:strRef>
          </c:cat>
          <c:val>
            <c:numRef>
              <c:f>'ss đcqh'!$I$7:$I$9</c:f>
              <c:numCache>
                <c:formatCode>#,##0.00</c:formatCode>
                <c:ptCount val="3"/>
                <c:pt idx="0">
                  <c:v>134312.33999999997</c:v>
                </c:pt>
                <c:pt idx="1">
                  <c:v>8705.16</c:v>
                </c:pt>
                <c:pt idx="2">
                  <c:v>155.36000000000001</c:v>
                </c:pt>
              </c:numCache>
            </c:numRef>
          </c:val>
          <c:extLst xmlns:c16r2="http://schemas.microsoft.com/office/drawing/2015/06/chart">
            <c:ext xmlns:c16="http://schemas.microsoft.com/office/drawing/2014/chart" uri="{C3380CC4-5D6E-409C-BE32-E72D297353CC}">
              <c16:uniqueId val="{00000005-22A0-4BB8-8A69-EEBDA9926F90}"/>
            </c:ext>
          </c:extLst>
        </c:ser>
        <c:dLbls>
          <c:showLegendKey val="0"/>
          <c:showVal val="1"/>
          <c:showCatName val="0"/>
          <c:showSerName val="0"/>
          <c:showPercent val="0"/>
          <c:showBubbleSize val="0"/>
        </c:dLbls>
        <c:gapWidth val="150"/>
        <c:overlap val="-25"/>
        <c:axId val="31176576"/>
        <c:axId val="31178112"/>
      </c:barChart>
      <c:catAx>
        <c:axId val="31176576"/>
        <c:scaling>
          <c:orientation val="minMax"/>
        </c:scaling>
        <c:delete val="0"/>
        <c:axPos val="b"/>
        <c:numFmt formatCode="General" sourceLinked="0"/>
        <c:majorTickMark val="none"/>
        <c:minorTickMark val="none"/>
        <c:tickLblPos val="nextTo"/>
        <c:txPr>
          <a:bodyPr/>
          <a:lstStyle/>
          <a:p>
            <a:pPr>
              <a:defRPr sz="1400">
                <a:latin typeface="Times New Roman" pitchFamily="18" charset="0"/>
                <a:cs typeface="Times New Roman" pitchFamily="18" charset="0"/>
              </a:defRPr>
            </a:pPr>
            <a:endParaRPr lang="en-US"/>
          </a:p>
        </c:txPr>
        <c:crossAx val="31178112"/>
        <c:crosses val="autoZero"/>
        <c:auto val="1"/>
        <c:lblAlgn val="ctr"/>
        <c:lblOffset val="100"/>
        <c:noMultiLvlLbl val="0"/>
      </c:catAx>
      <c:valAx>
        <c:axId val="31178112"/>
        <c:scaling>
          <c:orientation val="minMax"/>
        </c:scaling>
        <c:delete val="1"/>
        <c:axPos val="l"/>
        <c:numFmt formatCode="#,##0.00" sourceLinked="1"/>
        <c:majorTickMark val="none"/>
        <c:minorTickMark val="none"/>
        <c:tickLblPos val="nextTo"/>
        <c:crossAx val="31176576"/>
        <c:crosses val="autoZero"/>
        <c:crossBetween val="between"/>
      </c:valAx>
    </c:plotArea>
    <c:legend>
      <c:legendPos val="t"/>
      <c:overlay val="0"/>
      <c:txPr>
        <a:bodyPr/>
        <a:lstStyle/>
        <a:p>
          <a:pPr>
            <a:defRPr sz="1400">
              <a:latin typeface="Times New Roman" pitchFamily="18" charset="0"/>
              <a:cs typeface="Times New Roman" pitchFamily="18" charset="0"/>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'SS (2)'!$K$6</c:f>
              <c:strCache>
                <c:ptCount val="1"/>
                <c:pt idx="0">
                  <c:v>Hiện trạng sử dụng đất đến năm 2021 </c:v>
                </c:pt>
              </c:strCache>
            </c:strRef>
          </c:tx>
          <c:invertIfNegative val="0"/>
          <c:dLbls>
            <c:dLbl>
              <c:idx val="0"/>
              <c:layout>
                <c:manualLayout>
                  <c:x val="-3.6111111111111115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080-46F2-899F-6B9FD233C3E9}"/>
                </c:ext>
              </c:extLst>
            </c:dLbl>
            <c:dLbl>
              <c:idx val="1"/>
              <c:layout>
                <c:manualLayout>
                  <c:x val="-4.7222222222222276E-2"/>
                  <c:y val="4.6296296296295444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080-46F2-899F-6B9FD233C3E9}"/>
                </c:ext>
              </c:extLst>
            </c:dLbl>
            <c:dLbl>
              <c:idx val="2"/>
              <c:layout>
                <c:manualLayout>
                  <c:x val="-3.888888888888889E-2"/>
                  <c:y val="1.388888888888888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080-46F2-899F-6B9FD233C3E9}"/>
                </c:ext>
              </c:extLst>
            </c:dLbl>
            <c:spPr>
              <a:noFill/>
              <a:ln>
                <a:noFill/>
              </a:ln>
              <a:effectLst/>
            </c:spPr>
            <c:txPr>
              <a:bodyPr/>
              <a:lstStyle/>
              <a:p>
                <a:pPr>
                  <a:defRPr sz="12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'SS (2)'!$J$7:$J$9</c:f>
              <c:strCache>
                <c:ptCount val="3"/>
                <c:pt idx="0">
                  <c:v>Đất nông nghiệp</c:v>
                </c:pt>
                <c:pt idx="1">
                  <c:v>Đất phi nông nghiệp</c:v>
                </c:pt>
                <c:pt idx="2">
                  <c:v>Đất chưa sử dụng</c:v>
                </c:pt>
              </c:strCache>
            </c:strRef>
          </c:cat>
          <c:val>
            <c:numRef>
              <c:f>'SS (2)'!$K$7:$K$9</c:f>
              <c:numCache>
                <c:formatCode>#,##0.00</c:formatCode>
                <c:ptCount val="3"/>
                <c:pt idx="0">
                  <c:v>134748.66999999998</c:v>
                </c:pt>
                <c:pt idx="1">
                  <c:v>8253.2800000000007</c:v>
                </c:pt>
                <c:pt idx="2">
                  <c:v>170.91000000000003</c:v>
                </c:pt>
              </c:numCache>
            </c:numRef>
          </c:val>
          <c:extLst xmlns:c16r2="http://schemas.microsoft.com/office/drawing/2015/06/chart">
            <c:ext xmlns:c16="http://schemas.microsoft.com/office/drawing/2014/chart" uri="{C3380CC4-5D6E-409C-BE32-E72D297353CC}">
              <c16:uniqueId val="{00000003-0080-46F2-899F-6B9FD233C3E9}"/>
            </c:ext>
          </c:extLst>
        </c:ser>
        <c:ser>
          <c:idx val="1"/>
          <c:order val="1"/>
          <c:tx>
            <c:strRef>
              <c:f>'SS (2)'!$L$6</c:f>
              <c:strCache>
                <c:ptCount val="1"/>
                <c:pt idx="0">
                  <c:v>Kế hoạch sử dụng đất năm 2022</c:v>
                </c:pt>
              </c:strCache>
            </c:strRef>
          </c:tx>
          <c:invertIfNegative val="0"/>
          <c:dLbls>
            <c:dLbl>
              <c:idx val="0"/>
              <c:layout>
                <c:manualLayout>
                  <c:x val="6.6666666666666638E-2"/>
                  <c:y val="9.2592592592592587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080-46F2-899F-6B9FD233C3E9}"/>
                </c:ext>
              </c:extLst>
            </c:dLbl>
            <c:spPr>
              <a:noFill/>
              <a:ln>
                <a:noFill/>
              </a:ln>
              <a:effectLst/>
            </c:spPr>
            <c:txPr>
              <a:bodyPr/>
              <a:lstStyle/>
              <a:p>
                <a:pPr>
                  <a:defRPr sz="12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'SS (2)'!$J$7:$J$9</c:f>
              <c:strCache>
                <c:ptCount val="3"/>
                <c:pt idx="0">
                  <c:v>Đất nông nghiệp</c:v>
                </c:pt>
                <c:pt idx="1">
                  <c:v>Đất phi nông nghiệp</c:v>
                </c:pt>
                <c:pt idx="2">
                  <c:v>Đất chưa sử dụng</c:v>
                </c:pt>
              </c:strCache>
            </c:strRef>
          </c:cat>
          <c:val>
            <c:numRef>
              <c:f>'SS (2)'!$L$7:$L$9</c:f>
              <c:numCache>
                <c:formatCode>#,##0.00</c:formatCode>
                <c:ptCount val="3"/>
                <c:pt idx="0">
                  <c:v>134312.33999999997</c:v>
                </c:pt>
                <c:pt idx="1">
                  <c:v>8705.16</c:v>
                </c:pt>
                <c:pt idx="2">
                  <c:v>155.36000000000001</c:v>
                </c:pt>
              </c:numCache>
            </c:numRef>
          </c:val>
          <c:extLst xmlns:c16r2="http://schemas.microsoft.com/office/drawing/2015/06/chart">
            <c:ext xmlns:c16="http://schemas.microsoft.com/office/drawing/2014/chart" uri="{C3380CC4-5D6E-409C-BE32-E72D297353CC}">
              <c16:uniqueId val="{00000005-0080-46F2-899F-6B9FD233C3E9}"/>
            </c:ext>
          </c:extLst>
        </c:ser>
        <c:dLbls>
          <c:showLegendKey val="0"/>
          <c:showVal val="1"/>
          <c:showCatName val="0"/>
          <c:showSerName val="0"/>
          <c:showPercent val="0"/>
          <c:showBubbleSize val="0"/>
        </c:dLbls>
        <c:gapWidth val="150"/>
        <c:overlap val="-25"/>
        <c:axId val="31452544"/>
        <c:axId val="31454336"/>
      </c:barChart>
      <c:catAx>
        <c:axId val="31452544"/>
        <c:scaling>
          <c:orientation val="minMax"/>
        </c:scaling>
        <c:delete val="0"/>
        <c:axPos val="b"/>
        <c:numFmt formatCode="General" sourceLinked="0"/>
        <c:majorTickMark val="none"/>
        <c:minorTickMark val="none"/>
        <c:tickLblPos val="nextTo"/>
        <c:txPr>
          <a:bodyPr/>
          <a:lstStyle/>
          <a:p>
            <a:pPr>
              <a:defRPr sz="1400">
                <a:latin typeface="Times New Roman" pitchFamily="18" charset="0"/>
                <a:cs typeface="Times New Roman" pitchFamily="18" charset="0"/>
              </a:defRPr>
            </a:pPr>
            <a:endParaRPr lang="en-US"/>
          </a:p>
        </c:txPr>
        <c:crossAx val="31454336"/>
        <c:crosses val="autoZero"/>
        <c:auto val="1"/>
        <c:lblAlgn val="ctr"/>
        <c:lblOffset val="100"/>
        <c:noMultiLvlLbl val="0"/>
      </c:catAx>
      <c:valAx>
        <c:axId val="31454336"/>
        <c:scaling>
          <c:orientation val="minMax"/>
        </c:scaling>
        <c:delete val="1"/>
        <c:axPos val="l"/>
        <c:numFmt formatCode="#,##0.00" sourceLinked="1"/>
        <c:majorTickMark val="none"/>
        <c:minorTickMark val="none"/>
        <c:tickLblPos val="nextTo"/>
        <c:crossAx val="31452544"/>
        <c:crosses val="autoZero"/>
        <c:crossBetween val="between"/>
      </c:valAx>
    </c:plotArea>
    <c:legend>
      <c:legendPos val="t"/>
      <c:overlay val="0"/>
      <c:txPr>
        <a:bodyPr/>
        <a:lstStyle/>
        <a:p>
          <a:pPr>
            <a:defRPr sz="1400">
              <a:latin typeface="Times New Roman" pitchFamily="18" charset="0"/>
              <a:cs typeface="Times New Roman" pitchFamily="18" charset="0"/>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SS!$I$5</c:f>
              <c:strCache>
                <c:ptCount val="1"/>
                <c:pt idx="0">
                  <c:v>Hiện trạng sử dụng đất đến năm 2021 </c:v>
                </c:pt>
              </c:strCache>
            </c:strRef>
          </c:tx>
          <c:invertIfNegative val="0"/>
          <c:dLbls>
            <c:dLbl>
              <c:idx val="0"/>
              <c:layout>
                <c:manualLayout>
                  <c:x val="-3.6111111111111115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080-46F2-899F-6B9FD233C3E9}"/>
                </c:ext>
              </c:extLst>
            </c:dLbl>
            <c:dLbl>
              <c:idx val="1"/>
              <c:layout>
                <c:manualLayout>
                  <c:x val="-4.7222222222222276E-2"/>
                  <c:y val="4.6296296296295444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080-46F2-899F-6B9FD233C3E9}"/>
                </c:ext>
              </c:extLst>
            </c:dLbl>
            <c:dLbl>
              <c:idx val="2"/>
              <c:layout>
                <c:manualLayout>
                  <c:x val="-3.888888888888889E-2"/>
                  <c:y val="1.388888888888888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080-46F2-899F-6B9FD233C3E9}"/>
                </c:ext>
              </c:extLst>
            </c:dLbl>
            <c:spPr>
              <a:noFill/>
              <a:ln>
                <a:noFill/>
              </a:ln>
              <a:effectLst/>
            </c:spPr>
            <c:txPr>
              <a:bodyPr/>
              <a:lstStyle/>
              <a:p>
                <a:pPr>
                  <a:defRPr sz="12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SS!$H$6:$H$8</c:f>
              <c:strCache>
                <c:ptCount val="3"/>
                <c:pt idx="0">
                  <c:v>Đất nông nghiệp</c:v>
                </c:pt>
                <c:pt idx="1">
                  <c:v>Đất phi nông nghiệp</c:v>
                </c:pt>
                <c:pt idx="2">
                  <c:v>Đất chưa sử dụng</c:v>
                </c:pt>
              </c:strCache>
            </c:strRef>
          </c:cat>
          <c:val>
            <c:numRef>
              <c:f>SS!$I$6:$I$8</c:f>
              <c:numCache>
                <c:formatCode>#,##0.00</c:formatCode>
                <c:ptCount val="3"/>
                <c:pt idx="0">
                  <c:v>134748.66999999998</c:v>
                </c:pt>
                <c:pt idx="1">
                  <c:v>8253.2800000000007</c:v>
                </c:pt>
                <c:pt idx="2">
                  <c:v>170.91000000000003</c:v>
                </c:pt>
              </c:numCache>
            </c:numRef>
          </c:val>
          <c:extLst xmlns:c16r2="http://schemas.microsoft.com/office/drawing/2015/06/chart">
            <c:ext xmlns:c16="http://schemas.microsoft.com/office/drawing/2014/chart" uri="{C3380CC4-5D6E-409C-BE32-E72D297353CC}">
              <c16:uniqueId val="{00000003-0080-46F2-899F-6B9FD233C3E9}"/>
            </c:ext>
          </c:extLst>
        </c:ser>
        <c:ser>
          <c:idx val="1"/>
          <c:order val="1"/>
          <c:tx>
            <c:strRef>
              <c:f>SS!$J$5</c:f>
              <c:strCache>
                <c:ptCount val="1"/>
                <c:pt idx="0">
                  <c:v>Kế hoạch sử dụng đất năm 2022</c:v>
                </c:pt>
              </c:strCache>
            </c:strRef>
          </c:tx>
          <c:invertIfNegative val="0"/>
          <c:dLbls>
            <c:dLbl>
              <c:idx val="0"/>
              <c:layout>
                <c:manualLayout>
                  <c:x val="6.6666666666666638E-2"/>
                  <c:y val="9.2592592592592587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080-46F2-899F-6B9FD233C3E9}"/>
                </c:ext>
              </c:extLst>
            </c:dLbl>
            <c:spPr>
              <a:noFill/>
              <a:ln>
                <a:noFill/>
              </a:ln>
              <a:effectLst/>
            </c:spPr>
            <c:txPr>
              <a:bodyPr/>
              <a:lstStyle/>
              <a:p>
                <a:pPr>
                  <a:defRPr sz="12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SS!$H$6:$H$8</c:f>
              <c:strCache>
                <c:ptCount val="3"/>
                <c:pt idx="0">
                  <c:v>Đất nông nghiệp</c:v>
                </c:pt>
                <c:pt idx="1">
                  <c:v>Đất phi nông nghiệp</c:v>
                </c:pt>
                <c:pt idx="2">
                  <c:v>Đất chưa sử dụng</c:v>
                </c:pt>
              </c:strCache>
            </c:strRef>
          </c:cat>
          <c:val>
            <c:numRef>
              <c:f>SS!$J$6:$J$8</c:f>
              <c:numCache>
                <c:formatCode>#,##0.00</c:formatCode>
                <c:ptCount val="3"/>
                <c:pt idx="0">
                  <c:v>134312.33999999997</c:v>
                </c:pt>
                <c:pt idx="1">
                  <c:v>8705.16</c:v>
                </c:pt>
                <c:pt idx="2">
                  <c:v>155.36000000000001</c:v>
                </c:pt>
              </c:numCache>
            </c:numRef>
          </c:val>
          <c:extLst xmlns:c16r2="http://schemas.microsoft.com/office/drawing/2015/06/chart">
            <c:ext xmlns:c16="http://schemas.microsoft.com/office/drawing/2014/chart" uri="{C3380CC4-5D6E-409C-BE32-E72D297353CC}">
              <c16:uniqueId val="{00000005-0080-46F2-899F-6B9FD233C3E9}"/>
            </c:ext>
          </c:extLst>
        </c:ser>
        <c:dLbls>
          <c:showLegendKey val="0"/>
          <c:showVal val="1"/>
          <c:showCatName val="0"/>
          <c:showSerName val="0"/>
          <c:showPercent val="0"/>
          <c:showBubbleSize val="0"/>
        </c:dLbls>
        <c:gapWidth val="150"/>
        <c:overlap val="-25"/>
        <c:axId val="31560832"/>
        <c:axId val="31562368"/>
      </c:barChart>
      <c:catAx>
        <c:axId val="31560832"/>
        <c:scaling>
          <c:orientation val="minMax"/>
        </c:scaling>
        <c:delete val="0"/>
        <c:axPos val="b"/>
        <c:numFmt formatCode="General" sourceLinked="0"/>
        <c:majorTickMark val="none"/>
        <c:minorTickMark val="none"/>
        <c:tickLblPos val="nextTo"/>
        <c:txPr>
          <a:bodyPr/>
          <a:lstStyle/>
          <a:p>
            <a:pPr>
              <a:defRPr sz="1400">
                <a:latin typeface="Times New Roman" pitchFamily="18" charset="0"/>
                <a:cs typeface="Times New Roman" pitchFamily="18" charset="0"/>
              </a:defRPr>
            </a:pPr>
            <a:endParaRPr lang="en-US"/>
          </a:p>
        </c:txPr>
        <c:crossAx val="31562368"/>
        <c:crosses val="autoZero"/>
        <c:auto val="1"/>
        <c:lblAlgn val="ctr"/>
        <c:lblOffset val="100"/>
        <c:noMultiLvlLbl val="0"/>
      </c:catAx>
      <c:valAx>
        <c:axId val="31562368"/>
        <c:scaling>
          <c:orientation val="minMax"/>
        </c:scaling>
        <c:delete val="1"/>
        <c:axPos val="l"/>
        <c:numFmt formatCode="#,##0.00" sourceLinked="1"/>
        <c:majorTickMark val="none"/>
        <c:minorTickMark val="none"/>
        <c:tickLblPos val="nextTo"/>
        <c:crossAx val="31560832"/>
        <c:crosses val="autoZero"/>
        <c:crossBetween val="between"/>
      </c:valAx>
    </c:plotArea>
    <c:legend>
      <c:legendPos val="t"/>
      <c:overlay val="0"/>
      <c:txPr>
        <a:bodyPr/>
        <a:lstStyle/>
        <a:p>
          <a:pPr>
            <a:defRPr sz="1400">
              <a:latin typeface="Times New Roman" pitchFamily="18" charset="0"/>
              <a:cs typeface="Times New Roman" pitchFamily="18" charset="0"/>
            </a:defRPr>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'B2'!$J$8</c:f>
              <c:strCache>
                <c:ptCount val="1"/>
                <c:pt idx="0">
                  <c:v>Kế hoạch sử dụng đất năm 2021 (ha)</c:v>
                </c:pt>
              </c:strCache>
            </c:strRef>
          </c:tx>
          <c:invertIfNegative val="0"/>
          <c:dLbls>
            <c:dLbl>
              <c:idx val="0"/>
              <c:layout>
                <c:manualLayout>
                  <c:x val="-2.1206095867583125E-2"/>
                  <c:y val="-4.166666666666666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1F33-44D2-979B-27F8613838D4}"/>
                </c:ext>
              </c:extLst>
            </c:dLbl>
            <c:dLbl>
              <c:idx val="1"/>
              <c:layout>
                <c:manualLayout>
                  <c:x val="0"/>
                  <c:y val="-5.555555555555555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F33-44D2-979B-27F8613838D4}"/>
                </c:ext>
              </c:extLst>
            </c:dLbl>
            <c:dLbl>
              <c:idx val="2"/>
              <c:layout>
                <c:manualLayout>
                  <c:x val="2.7567924627858065E-2"/>
                  <c:y val="-5.555555555555555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F33-44D2-979B-27F8613838D4}"/>
                </c:ext>
              </c:extLst>
            </c:dLbl>
            <c:spPr>
              <a:noFill/>
              <a:ln>
                <a:noFill/>
              </a:ln>
              <a:effectLst/>
            </c:spPr>
            <c:txPr>
              <a:bodyPr/>
              <a:lstStyle/>
              <a:p>
                <a:pPr>
                  <a:defRPr sz="13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'B2'!$I$9:$I$11</c:f>
              <c:strCache>
                <c:ptCount val="3"/>
                <c:pt idx="0">
                  <c:v>Đất nông nghiệp</c:v>
                </c:pt>
                <c:pt idx="1">
                  <c:v>Đất phi nông nghiệp</c:v>
                </c:pt>
                <c:pt idx="2">
                  <c:v>Đất chưa sử dụng</c:v>
                </c:pt>
              </c:strCache>
            </c:strRef>
          </c:cat>
          <c:val>
            <c:numRef>
              <c:f>'B2'!$J$9:$J$11</c:f>
              <c:numCache>
                <c:formatCode>_(* #,##0.00_);_(* \(#,##0.00\);_(* "-"??_);_(@_)</c:formatCode>
                <c:ptCount val="3"/>
                <c:pt idx="0">
                  <c:v>134547.6</c:v>
                </c:pt>
                <c:pt idx="1">
                  <c:v>8492.4500000000007</c:v>
                </c:pt>
                <c:pt idx="2">
                  <c:v>132.81</c:v>
                </c:pt>
              </c:numCache>
            </c:numRef>
          </c:val>
          <c:extLst xmlns:c16r2="http://schemas.microsoft.com/office/drawing/2015/06/chart">
            <c:ext xmlns:c16="http://schemas.microsoft.com/office/drawing/2014/chart" uri="{C3380CC4-5D6E-409C-BE32-E72D297353CC}">
              <c16:uniqueId val="{00000003-1F33-44D2-979B-27F8613838D4}"/>
            </c:ext>
          </c:extLst>
        </c:ser>
        <c:ser>
          <c:idx val="1"/>
          <c:order val="1"/>
          <c:tx>
            <c:strRef>
              <c:f>'B2'!$K$8</c:f>
              <c:strCache>
                <c:ptCount val="1"/>
                <c:pt idx="0">
                  <c:v>Kết quả thực hiện đến ngày 31/12/2021</c:v>
                </c:pt>
              </c:strCache>
            </c:strRef>
          </c:tx>
          <c:invertIfNegative val="0"/>
          <c:dLbls>
            <c:dLbl>
              <c:idx val="0"/>
              <c:layout>
                <c:manualLayout>
                  <c:x val="5.3015239668957818E-2"/>
                  <c:y val="-3.703703703703703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F33-44D2-979B-27F8613838D4}"/>
                </c:ext>
              </c:extLst>
            </c:dLbl>
            <c:dLbl>
              <c:idx val="1"/>
              <c:layout>
                <c:manualLayout>
                  <c:x val="2.9688534214616376E-2"/>
                  <c:y val="-2.777777777777769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F33-44D2-979B-27F8613838D4}"/>
                </c:ext>
              </c:extLst>
            </c:dLbl>
            <c:dLbl>
              <c:idx val="2"/>
              <c:layout>
                <c:manualLayout>
                  <c:x val="4.0291582148407938E-2"/>
                  <c:y val="-1.388888888888888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1F33-44D2-979B-27F8613838D4}"/>
                </c:ext>
              </c:extLst>
            </c:dLbl>
            <c:spPr>
              <a:noFill/>
              <a:ln>
                <a:noFill/>
              </a:ln>
              <a:effectLst/>
            </c:spPr>
            <c:txPr>
              <a:bodyPr/>
              <a:lstStyle/>
              <a:p>
                <a:pPr>
                  <a:defRPr sz="13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'B2'!$I$9:$I$11</c:f>
              <c:strCache>
                <c:ptCount val="3"/>
                <c:pt idx="0">
                  <c:v>Đất nông nghiệp</c:v>
                </c:pt>
                <c:pt idx="1">
                  <c:v>Đất phi nông nghiệp</c:v>
                </c:pt>
                <c:pt idx="2">
                  <c:v>Đất chưa sử dụng</c:v>
                </c:pt>
              </c:strCache>
            </c:strRef>
          </c:cat>
          <c:val>
            <c:numRef>
              <c:f>'B2'!$K$9:$K$11</c:f>
              <c:numCache>
                <c:formatCode>_(* #,##0.00_);_(* \(#,##0.00\);_(* "-"??_);_(@_)</c:formatCode>
                <c:ptCount val="3"/>
                <c:pt idx="0">
                  <c:v>134748.66999999998</c:v>
                </c:pt>
                <c:pt idx="1">
                  <c:v>8253.2800000000007</c:v>
                </c:pt>
                <c:pt idx="2">
                  <c:v>170.91000000000003</c:v>
                </c:pt>
              </c:numCache>
            </c:numRef>
          </c:val>
          <c:extLst xmlns:c16r2="http://schemas.microsoft.com/office/drawing/2015/06/chart">
            <c:ext xmlns:c16="http://schemas.microsoft.com/office/drawing/2014/chart" uri="{C3380CC4-5D6E-409C-BE32-E72D297353CC}">
              <c16:uniqueId val="{00000007-1F33-44D2-979B-27F8613838D4}"/>
            </c:ext>
          </c:extLst>
        </c:ser>
        <c:dLbls>
          <c:showLegendKey val="0"/>
          <c:showVal val="1"/>
          <c:showCatName val="0"/>
          <c:showSerName val="0"/>
          <c:showPercent val="0"/>
          <c:showBubbleSize val="0"/>
        </c:dLbls>
        <c:gapWidth val="75"/>
        <c:shape val="box"/>
        <c:axId val="32096256"/>
        <c:axId val="32097792"/>
        <c:axId val="0"/>
      </c:bar3DChart>
      <c:catAx>
        <c:axId val="32096256"/>
        <c:scaling>
          <c:orientation val="minMax"/>
        </c:scaling>
        <c:delete val="0"/>
        <c:axPos val="b"/>
        <c:numFmt formatCode="General" sourceLinked="0"/>
        <c:majorTickMark val="none"/>
        <c:minorTickMark val="none"/>
        <c:tickLblPos val="nextTo"/>
        <c:txPr>
          <a:bodyPr/>
          <a:lstStyle/>
          <a:p>
            <a:pPr>
              <a:defRPr sz="1300">
                <a:latin typeface="Times New Roman" pitchFamily="18" charset="0"/>
                <a:cs typeface="Times New Roman" pitchFamily="18" charset="0"/>
              </a:defRPr>
            </a:pPr>
            <a:endParaRPr lang="en-US"/>
          </a:p>
        </c:txPr>
        <c:crossAx val="32097792"/>
        <c:crosses val="autoZero"/>
        <c:auto val="1"/>
        <c:lblAlgn val="ctr"/>
        <c:lblOffset val="100"/>
        <c:noMultiLvlLbl val="0"/>
      </c:catAx>
      <c:valAx>
        <c:axId val="32097792"/>
        <c:scaling>
          <c:orientation val="minMax"/>
        </c:scaling>
        <c:delete val="1"/>
        <c:axPos val="l"/>
        <c:numFmt formatCode="_(* #,##0.00_);_(* \(#,##0.00\);_(* &quot;-&quot;??_);_(@_)" sourceLinked="1"/>
        <c:majorTickMark val="none"/>
        <c:minorTickMark val="none"/>
        <c:tickLblPos val="nextTo"/>
        <c:crossAx val="32096256"/>
        <c:crosses val="autoZero"/>
        <c:crossBetween val="between"/>
      </c:valAx>
    </c:plotArea>
    <c:legend>
      <c:legendPos val="b"/>
      <c:overlay val="0"/>
      <c:txPr>
        <a:bodyPr/>
        <a:lstStyle/>
        <a:p>
          <a:pPr>
            <a:defRPr sz="1300">
              <a:latin typeface="Times New Roman" pitchFamily="18" charset="0"/>
              <a:cs typeface="Times New Roman" pitchFamily="18" charset="0"/>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219074</xdr:colOff>
      <xdr:row>4</xdr:row>
      <xdr:rowOff>157162</xdr:rowOff>
    </xdr:from>
    <xdr:to>
      <xdr:col>16</xdr:col>
      <xdr:colOff>47624</xdr:colOff>
      <xdr:row>19</xdr:row>
      <xdr:rowOff>61912</xdr:rowOff>
    </xdr:to>
    <xdr:graphicFrame macro="">
      <xdr:nvGraphicFramePr>
        <xdr:cNvPr id="2" name="Chart 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466724</xdr:colOff>
      <xdr:row>5</xdr:row>
      <xdr:rowOff>119062</xdr:rowOff>
    </xdr:from>
    <xdr:to>
      <xdr:col>20</xdr:col>
      <xdr:colOff>342899</xdr:colOff>
      <xdr:row>20</xdr:row>
      <xdr:rowOff>23812</xdr:rowOff>
    </xdr:to>
    <xdr:graphicFrame macro="">
      <xdr:nvGraphicFramePr>
        <xdr:cNvPr id="2" name="Chart 1">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466724</xdr:colOff>
      <xdr:row>4</xdr:row>
      <xdr:rowOff>119062</xdr:rowOff>
    </xdr:from>
    <xdr:to>
      <xdr:col>18</xdr:col>
      <xdr:colOff>342899</xdr:colOff>
      <xdr:row>19</xdr:row>
      <xdr:rowOff>23812</xdr:rowOff>
    </xdr:to>
    <xdr:graphicFrame macro="">
      <xdr:nvGraphicFramePr>
        <xdr:cNvPr id="2" name="Chart 1">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1047749</xdr:colOff>
      <xdr:row>8</xdr:row>
      <xdr:rowOff>92869</xdr:rowOff>
    </xdr:from>
    <xdr:to>
      <xdr:col>12</xdr:col>
      <xdr:colOff>261937</xdr:colOff>
      <xdr:row>20</xdr:row>
      <xdr:rowOff>61913</xdr:rowOff>
    </xdr:to>
    <xdr:graphicFrame macro="">
      <xdr:nvGraphicFramePr>
        <xdr:cNvPr id="4" name="Chart 3">
          <a:extLst>
            <a:ext uri="{FF2B5EF4-FFF2-40B4-BE49-F238E27FC236}">
              <a16:creationId xmlns=""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KHSD&#272;%202021\SA%20TH&#7846;Y\HO%20SO%20KHSD&#272;%202021%20SA%20TH&#7846;Y\2.2.%20Bang%20bieu%20KH%202021%20Sa%20Th&#7847;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KQ"/>
      <sheetName val="ss đcqh"/>
      <sheetName val="Sheet3"/>
      <sheetName val="B1"/>
      <sheetName val="B2"/>
      <sheetName val="B6"/>
      <sheetName val="B7"/>
      <sheetName val="B8"/>
      <sheetName val="B9"/>
      <sheetName val="B10"/>
      <sheetName val="B13"/>
      <sheetName val="CÔng Tăng"/>
      <sheetName val="Cộng giảm"/>
      <sheetName val="Nháp 2"/>
      <sheetName val="Sheet5"/>
    </sheetNames>
    <sheetDataSet>
      <sheetData sheetId="0" refreshError="1"/>
      <sheetData sheetId="1" refreshError="1"/>
      <sheetData sheetId="2" refreshError="1"/>
      <sheetData sheetId="3" refreshError="1"/>
      <sheetData sheetId="4" refreshError="1"/>
      <sheetData sheetId="5">
        <row r="6">
          <cell r="F6">
            <v>143172.85999999999</v>
          </cell>
        </row>
        <row r="8">
          <cell r="F8">
            <v>134547.6</v>
          </cell>
        </row>
        <row r="9">
          <cell r="F9">
            <v>1208.05</v>
          </cell>
        </row>
        <row r="10">
          <cell r="F10">
            <v>737.03</v>
          </cell>
        </row>
        <row r="11">
          <cell r="F11">
            <v>15300.630000000001</v>
          </cell>
        </row>
        <row r="12">
          <cell r="F12">
            <v>27247.130000000005</v>
          </cell>
        </row>
        <row r="13">
          <cell r="F13">
            <v>13303.050000000001</v>
          </cell>
        </row>
        <row r="14">
          <cell r="F14">
            <v>43026.239999999998</v>
          </cell>
        </row>
        <row r="15">
          <cell r="F15">
            <v>34237.589999999997</v>
          </cell>
        </row>
        <row r="16">
          <cell r="F16">
            <v>129.27000000000001</v>
          </cell>
        </row>
        <row r="17">
          <cell r="F17">
            <v>0</v>
          </cell>
        </row>
        <row r="18">
          <cell r="F18">
            <v>95.640000000000015</v>
          </cell>
        </row>
        <row r="19">
          <cell r="F19">
            <v>8492.4500000000007</v>
          </cell>
        </row>
        <row r="20">
          <cell r="F20">
            <v>118.19</v>
          </cell>
        </row>
        <row r="21">
          <cell r="F21">
            <v>0.97</v>
          </cell>
        </row>
        <row r="24">
          <cell r="F24">
            <v>25</v>
          </cell>
        </row>
        <row r="25">
          <cell r="F25">
            <v>5.39</v>
          </cell>
        </row>
        <row r="26">
          <cell r="F26">
            <v>64.859999999999985</v>
          </cell>
        </row>
        <row r="27">
          <cell r="F27">
            <v>4.66</v>
          </cell>
        </row>
        <row r="29">
          <cell r="F29">
            <v>5.7799999999999994</v>
          </cell>
        </row>
        <row r="30">
          <cell r="F30">
            <v>4.96</v>
          </cell>
        </row>
        <row r="31">
          <cell r="F31">
            <v>59.57</v>
          </cell>
        </row>
        <row r="32">
          <cell r="F32">
            <v>15.93</v>
          </cell>
        </row>
        <row r="34">
          <cell r="F34">
            <v>0.66</v>
          </cell>
        </row>
        <row r="35">
          <cell r="F35">
            <v>1275.7800000000002</v>
          </cell>
        </row>
        <row r="36">
          <cell r="F36">
            <v>107.17000000000002</v>
          </cell>
        </row>
        <row r="37">
          <cell r="F37">
            <v>4632.34</v>
          </cell>
        </row>
        <row r="38">
          <cell r="F38">
            <v>1.02</v>
          </cell>
        </row>
        <row r="39">
          <cell r="F39">
            <v>2.5299999999999998</v>
          </cell>
        </row>
        <row r="40">
          <cell r="F40">
            <v>3.86</v>
          </cell>
        </row>
        <row r="41">
          <cell r="F41">
            <v>0</v>
          </cell>
        </row>
        <row r="42">
          <cell r="F42">
            <v>21.16</v>
          </cell>
        </row>
        <row r="43">
          <cell r="F43">
            <v>756.21</v>
          </cell>
        </row>
        <row r="44">
          <cell r="F44">
            <v>112.18000000000002</v>
          </cell>
        </row>
        <row r="45">
          <cell r="F45">
            <v>21.65</v>
          </cell>
        </row>
        <row r="46">
          <cell r="F46">
            <v>5.03</v>
          </cell>
        </row>
        <row r="47">
          <cell r="F47">
            <v>0</v>
          </cell>
        </row>
        <row r="48">
          <cell r="F48">
            <v>5.8500000000000005</v>
          </cell>
        </row>
        <row r="49">
          <cell r="F49">
            <v>120.86</v>
          </cell>
        </row>
        <row r="50">
          <cell r="F50">
            <v>41.61</v>
          </cell>
        </row>
        <row r="51">
          <cell r="F51">
            <v>13.330000000000002</v>
          </cell>
        </row>
        <row r="52">
          <cell r="F52">
            <v>6.65</v>
          </cell>
        </row>
        <row r="53">
          <cell r="F53">
            <v>0.27</v>
          </cell>
        </row>
        <row r="54">
          <cell r="F54">
            <v>993.02</v>
          </cell>
        </row>
        <row r="55">
          <cell r="F55">
            <v>64.550000000000011</v>
          </cell>
        </row>
        <row r="56">
          <cell r="F56">
            <v>1.41</v>
          </cell>
        </row>
        <row r="57">
          <cell r="F57">
            <v>132.81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workbookViewId="0">
      <selection activeCell="B49" sqref="B49"/>
    </sheetView>
  </sheetViews>
  <sheetFormatPr defaultColWidth="9.140625" defaultRowHeight="12.75"/>
  <cols>
    <col min="1" max="1" width="5.28515625" style="341" customWidth="1"/>
    <col min="2" max="2" width="38.7109375" style="341" customWidth="1"/>
    <col min="3" max="3" width="8.42578125" style="341" customWidth="1"/>
    <col min="4" max="4" width="13.5703125" style="341" bestFit="1" customWidth="1"/>
    <col min="5" max="5" width="12.42578125" style="341" bestFit="1" customWidth="1"/>
    <col min="6" max="6" width="11.7109375" style="341" bestFit="1" customWidth="1"/>
    <col min="7" max="7" width="9.140625" style="341"/>
    <col min="8" max="9" width="9.85546875" style="341" bestFit="1" customWidth="1"/>
    <col min="10" max="16384" width="9.140625" style="341"/>
  </cols>
  <sheetData>
    <row r="1" spans="1:9" ht="21" customHeight="1">
      <c r="A1" s="712" t="s">
        <v>1</v>
      </c>
      <c r="B1" s="712" t="s">
        <v>2</v>
      </c>
      <c r="C1" s="712" t="s">
        <v>3</v>
      </c>
      <c r="D1" s="712" t="s">
        <v>502</v>
      </c>
      <c r="E1" s="712" t="s">
        <v>499</v>
      </c>
      <c r="F1" s="710" t="s">
        <v>123</v>
      </c>
      <c r="G1" s="495"/>
      <c r="H1" s="376"/>
      <c r="I1" s="376"/>
    </row>
    <row r="2" spans="1:9" ht="48.75" customHeight="1">
      <c r="A2" s="712"/>
      <c r="B2" s="712"/>
      <c r="C2" s="712"/>
      <c r="D2" s="712"/>
      <c r="E2" s="712"/>
      <c r="F2" s="711"/>
      <c r="G2" s="495"/>
      <c r="H2" s="376"/>
      <c r="I2" s="376"/>
    </row>
    <row r="3" spans="1:9" ht="2.25" hidden="1" customHeight="1">
      <c r="A3" s="712"/>
      <c r="B3" s="712"/>
      <c r="C3" s="712"/>
      <c r="D3" s="712"/>
      <c r="E3" s="712"/>
      <c r="F3" s="496"/>
      <c r="G3" s="376"/>
      <c r="H3" s="376"/>
      <c r="I3" s="376"/>
    </row>
    <row r="4" spans="1:9" s="502" customFormat="1" ht="14.25" customHeight="1">
      <c r="A4" s="497"/>
      <c r="B4" s="497" t="s">
        <v>131</v>
      </c>
      <c r="C4" s="497"/>
      <c r="D4" s="498">
        <v>143172.85999999999</v>
      </c>
      <c r="E4" s="498">
        <f>[1]B6!F6</f>
        <v>143172.85999999999</v>
      </c>
      <c r="F4" s="499">
        <f t="shared" ref="F4:F13" si="0">E4-D4</f>
        <v>0</v>
      </c>
      <c r="G4" s="500"/>
      <c r="H4" s="501"/>
      <c r="I4" s="500">
        <f>E5-131431.1</f>
        <v>2881.2399999999616</v>
      </c>
    </row>
    <row r="5" spans="1:9" s="502" customFormat="1" ht="14.25" customHeight="1">
      <c r="A5" s="503">
        <v>1</v>
      </c>
      <c r="B5" s="504" t="s">
        <v>6</v>
      </c>
      <c r="C5" s="503" t="s">
        <v>7</v>
      </c>
      <c r="D5" s="505">
        <v>133277.03</v>
      </c>
      <c r="E5" s="505">
        <f>'B6'!H8</f>
        <v>134312.33999999997</v>
      </c>
      <c r="F5" s="506">
        <f t="shared" si="0"/>
        <v>1035.3099999999686</v>
      </c>
      <c r="G5" s="500"/>
      <c r="H5" s="501"/>
      <c r="I5" s="501"/>
    </row>
    <row r="6" spans="1:9" ht="15" customHeight="1">
      <c r="A6" s="337" t="s">
        <v>139</v>
      </c>
      <c r="B6" s="507" t="s">
        <v>8</v>
      </c>
      <c r="C6" s="337" t="s">
        <v>9</v>
      </c>
      <c r="D6" s="508">
        <v>1148.8499999999999</v>
      </c>
      <c r="E6" s="508">
        <f>'B6'!H9</f>
        <v>1197.1199999999999</v>
      </c>
      <c r="F6" s="509">
        <f t="shared" si="0"/>
        <v>48.269999999999982</v>
      </c>
      <c r="G6" s="500"/>
      <c r="H6" s="376" t="str">
        <f>D1</f>
        <v>Chỉ tiêu điều chỉnh quy hoạch đến 2020</v>
      </c>
      <c r="I6" s="376" t="str">
        <f>E1</f>
        <v>Kế hoạch sử dụng đất năm 2022</v>
      </c>
    </row>
    <row r="7" spans="1:9" ht="15" customHeight="1">
      <c r="A7" s="337"/>
      <c r="B7" s="510" t="s">
        <v>503</v>
      </c>
      <c r="C7" s="164" t="s">
        <v>11</v>
      </c>
      <c r="D7" s="511">
        <v>474.20999999999992</v>
      </c>
      <c r="E7" s="508">
        <f>'B6'!H10</f>
        <v>733.13000000000011</v>
      </c>
      <c r="F7" s="512">
        <f t="shared" si="0"/>
        <v>258.92000000000019</v>
      </c>
      <c r="G7" s="500" t="str">
        <f>B5</f>
        <v>Đất nông nghiệp</v>
      </c>
      <c r="H7" s="513">
        <f>D5</f>
        <v>133277.03</v>
      </c>
      <c r="I7" s="513">
        <f>E5</f>
        <v>134312.33999999997</v>
      </c>
    </row>
    <row r="8" spans="1:9" ht="15" customHeight="1">
      <c r="A8" s="337" t="s">
        <v>140</v>
      </c>
      <c r="B8" s="507" t="s">
        <v>12</v>
      </c>
      <c r="C8" s="337" t="s">
        <v>13</v>
      </c>
      <c r="D8" s="508">
        <v>8503.5</v>
      </c>
      <c r="E8" s="508">
        <f>'B6'!H11</f>
        <v>14772.83</v>
      </c>
      <c r="F8" s="509">
        <f t="shared" si="0"/>
        <v>6269.33</v>
      </c>
      <c r="G8" s="500" t="str">
        <f>B16</f>
        <v>Đất phi nông nghiệp</v>
      </c>
      <c r="H8" s="513">
        <f>D16</f>
        <v>9759.39</v>
      </c>
      <c r="I8" s="513">
        <f>E16</f>
        <v>8705.16</v>
      </c>
    </row>
    <row r="9" spans="1:9" ht="15">
      <c r="A9" s="337" t="s">
        <v>141</v>
      </c>
      <c r="B9" s="507" t="s">
        <v>14</v>
      </c>
      <c r="C9" s="337" t="s">
        <v>15</v>
      </c>
      <c r="D9" s="508">
        <v>17879.13</v>
      </c>
      <c r="E9" s="508">
        <f>'B6'!H12</f>
        <v>27032.239999999998</v>
      </c>
      <c r="F9" s="509">
        <f t="shared" si="0"/>
        <v>9153.1099999999969</v>
      </c>
      <c r="G9" s="500" t="str">
        <f>B43</f>
        <v>Đất chưa sử dụng</v>
      </c>
      <c r="H9" s="513">
        <f>D43</f>
        <v>136.43999999999988</v>
      </c>
      <c r="I9" s="513">
        <f>E43</f>
        <v>155.36000000000001</v>
      </c>
    </row>
    <row r="10" spans="1:9" ht="15">
      <c r="A10" s="337" t="s">
        <v>142</v>
      </c>
      <c r="B10" s="507" t="s">
        <v>16</v>
      </c>
      <c r="C10" s="337" t="s">
        <v>17</v>
      </c>
      <c r="D10" s="508">
        <v>15274.499999999998</v>
      </c>
      <c r="E10" s="508">
        <f>'B6'!H13</f>
        <v>13285.24</v>
      </c>
      <c r="F10" s="509">
        <f t="shared" si="0"/>
        <v>-1989.2599999999984</v>
      </c>
      <c r="G10" s="500"/>
      <c r="H10" s="376"/>
      <c r="I10" s="376"/>
    </row>
    <row r="11" spans="1:9" ht="15">
      <c r="A11" s="337" t="s">
        <v>143</v>
      </c>
      <c r="B11" s="507" t="s">
        <v>18</v>
      </c>
      <c r="C11" s="337" t="s">
        <v>19</v>
      </c>
      <c r="D11" s="508">
        <v>44138.469999999994</v>
      </c>
      <c r="E11" s="508">
        <f>'B6'!H14</f>
        <v>43004.24</v>
      </c>
      <c r="F11" s="509">
        <f t="shared" si="0"/>
        <v>-1134.2299999999959</v>
      </c>
      <c r="G11" s="500"/>
      <c r="H11" s="376"/>
      <c r="I11" s="376"/>
    </row>
    <row r="12" spans="1:9" ht="15">
      <c r="A12" s="337" t="s">
        <v>144</v>
      </c>
      <c r="B12" s="507" t="s">
        <v>20</v>
      </c>
      <c r="C12" s="337" t="s">
        <v>21</v>
      </c>
      <c r="D12" s="508">
        <v>45769.380000000005</v>
      </c>
      <c r="E12" s="508">
        <f>'B6'!H15</f>
        <v>34743.35</v>
      </c>
      <c r="F12" s="509">
        <f t="shared" si="0"/>
        <v>-11026.030000000006</v>
      </c>
      <c r="G12" s="500"/>
      <c r="H12" s="376"/>
      <c r="I12" s="376"/>
    </row>
    <row r="13" spans="1:9" ht="15">
      <c r="A13" s="337" t="s">
        <v>145</v>
      </c>
      <c r="B13" s="507" t="s">
        <v>22</v>
      </c>
      <c r="C13" s="337" t="s">
        <v>23</v>
      </c>
      <c r="D13" s="508">
        <v>111.01</v>
      </c>
      <c r="E13" s="508">
        <f>'B6'!H17</f>
        <v>129.5</v>
      </c>
      <c r="F13" s="509">
        <f t="shared" si="0"/>
        <v>18.489999999999995</v>
      </c>
      <c r="G13" s="500"/>
      <c r="H13" s="376"/>
      <c r="I13" s="376"/>
    </row>
    <row r="14" spans="1:9" ht="15">
      <c r="A14" s="337" t="s">
        <v>146</v>
      </c>
      <c r="B14" s="507" t="s">
        <v>24</v>
      </c>
      <c r="C14" s="337" t="s">
        <v>25</v>
      </c>
      <c r="D14" s="508"/>
      <c r="E14" s="508">
        <f>[1]B6!F17</f>
        <v>0</v>
      </c>
      <c r="F14" s="509"/>
      <c r="G14" s="500"/>
      <c r="H14" s="376"/>
      <c r="I14" s="376"/>
    </row>
    <row r="15" spans="1:9" ht="15">
      <c r="A15" s="337" t="s">
        <v>147</v>
      </c>
      <c r="B15" s="507" t="s">
        <v>26</v>
      </c>
      <c r="C15" s="337" t="s">
        <v>27</v>
      </c>
      <c r="D15" s="508">
        <v>452.19</v>
      </c>
      <c r="E15" s="508">
        <f>'B6'!H19</f>
        <v>147.82</v>
      </c>
      <c r="F15" s="509">
        <f>E15-D15</f>
        <v>-304.37</v>
      </c>
      <c r="G15" s="500"/>
      <c r="H15" s="376"/>
      <c r="I15" s="376"/>
    </row>
    <row r="16" spans="1:9" s="502" customFormat="1" ht="14.25">
      <c r="A16" s="503">
        <v>2</v>
      </c>
      <c r="B16" s="504" t="s">
        <v>28</v>
      </c>
      <c r="C16" s="503" t="s">
        <v>29</v>
      </c>
      <c r="D16" s="505">
        <v>9759.39</v>
      </c>
      <c r="E16" s="505">
        <f>'B6'!H20</f>
        <v>8705.16</v>
      </c>
      <c r="F16" s="506">
        <f>E16-D16</f>
        <v>-1054.2299999999996</v>
      </c>
      <c r="G16" s="500"/>
      <c r="H16" s="501"/>
      <c r="I16" s="501"/>
    </row>
    <row r="17" spans="1:18" ht="15">
      <c r="A17" s="337" t="s">
        <v>148</v>
      </c>
      <c r="B17" s="507" t="s">
        <v>30</v>
      </c>
      <c r="C17" s="337" t="s">
        <v>31</v>
      </c>
      <c r="D17" s="508">
        <v>380.49</v>
      </c>
      <c r="E17" s="508">
        <f>'B6'!H21</f>
        <v>119.86999999999999</v>
      </c>
      <c r="F17" s="509">
        <f>E17-D17</f>
        <v>-260.62</v>
      </c>
      <c r="G17" s="500"/>
      <c r="H17" s="376"/>
      <c r="I17" s="376"/>
    </row>
    <row r="18" spans="1:18" ht="15">
      <c r="A18" s="337" t="s">
        <v>138</v>
      </c>
      <c r="B18" s="507" t="s">
        <v>32</v>
      </c>
      <c r="C18" s="337" t="s">
        <v>33</v>
      </c>
      <c r="D18" s="508">
        <v>2.63</v>
      </c>
      <c r="E18" s="508">
        <f>'B6'!H22</f>
        <v>3.4099999999999997</v>
      </c>
      <c r="F18" s="509">
        <f>E18-D18</f>
        <v>0.7799999999999998</v>
      </c>
      <c r="G18" s="500"/>
      <c r="H18" s="376"/>
      <c r="I18" s="376"/>
    </row>
    <row r="19" spans="1:18" ht="15">
      <c r="A19" s="337" t="s">
        <v>149</v>
      </c>
      <c r="B19" s="507" t="s">
        <v>34</v>
      </c>
      <c r="C19" s="337" t="s">
        <v>35</v>
      </c>
      <c r="D19" s="508"/>
      <c r="E19" s="508"/>
      <c r="F19" s="509"/>
      <c r="G19" s="500"/>
      <c r="H19" s="376"/>
      <c r="I19" s="376"/>
    </row>
    <row r="20" spans="1:18" ht="15">
      <c r="A20" s="337" t="s">
        <v>150</v>
      </c>
      <c r="B20" s="507" t="s">
        <v>504</v>
      </c>
      <c r="C20" s="337" t="s">
        <v>505</v>
      </c>
      <c r="D20" s="508"/>
      <c r="E20" s="508"/>
      <c r="F20" s="509"/>
      <c r="G20" s="500"/>
      <c r="H20" s="376"/>
      <c r="I20" s="376"/>
    </row>
    <row r="21" spans="1:18" ht="15">
      <c r="A21" s="337" t="s">
        <v>151</v>
      </c>
      <c r="B21" s="507" t="s">
        <v>36</v>
      </c>
      <c r="C21" s="337" t="s">
        <v>37</v>
      </c>
      <c r="D21" s="508">
        <v>25</v>
      </c>
      <c r="E21" s="508">
        <f>'B6'!H24</f>
        <v>25</v>
      </c>
      <c r="F21" s="509">
        <f t="shared" ref="F21:F27" si="1">E21-D21</f>
        <v>0</v>
      </c>
      <c r="G21" s="500"/>
      <c r="H21" s="376"/>
      <c r="I21" s="376"/>
    </row>
    <row r="22" spans="1:18" ht="15">
      <c r="A22" s="337" t="s">
        <v>152</v>
      </c>
      <c r="B22" s="507" t="s">
        <v>38</v>
      </c>
      <c r="C22" s="337" t="s">
        <v>39</v>
      </c>
      <c r="D22" s="508">
        <v>41.9</v>
      </c>
      <c r="E22" s="508">
        <f>'B6'!H25</f>
        <v>5.169999999999999</v>
      </c>
      <c r="F22" s="509">
        <f t="shared" si="1"/>
        <v>-36.729999999999997</v>
      </c>
      <c r="G22" s="500"/>
      <c r="H22" s="376"/>
      <c r="I22" s="376"/>
    </row>
    <row r="23" spans="1:18" ht="15" customHeight="1">
      <c r="A23" s="337" t="s">
        <v>153</v>
      </c>
      <c r="B23" s="507" t="s">
        <v>506</v>
      </c>
      <c r="C23" s="337" t="s">
        <v>41</v>
      </c>
      <c r="D23" s="508">
        <v>264.85000000000002</v>
      </c>
      <c r="E23" s="508">
        <f>'B6'!H26</f>
        <v>84.859999999999985</v>
      </c>
      <c r="F23" s="509">
        <f t="shared" si="1"/>
        <v>-179.99000000000004</v>
      </c>
      <c r="G23" s="500"/>
      <c r="H23" s="376"/>
      <c r="I23" s="376"/>
      <c r="R23" s="341">
        <v>160</v>
      </c>
    </row>
    <row r="24" spans="1:18" ht="15">
      <c r="A24" s="337" t="s">
        <v>154</v>
      </c>
      <c r="B24" s="507" t="s">
        <v>42</v>
      </c>
      <c r="C24" s="337" t="s">
        <v>43</v>
      </c>
      <c r="D24" s="508">
        <v>27.7</v>
      </c>
      <c r="E24" s="508">
        <f>'B6'!H27</f>
        <v>4.66</v>
      </c>
      <c r="F24" s="509">
        <f t="shared" si="1"/>
        <v>-23.04</v>
      </c>
      <c r="G24" s="500"/>
      <c r="H24" s="376"/>
      <c r="I24" s="376"/>
      <c r="Q24" s="341">
        <f>5/160</f>
        <v>3.125E-2</v>
      </c>
    </row>
    <row r="25" spans="1:18" ht="15">
      <c r="A25" s="337" t="s">
        <v>166</v>
      </c>
      <c r="B25" s="507" t="s">
        <v>65</v>
      </c>
      <c r="C25" s="337" t="s">
        <v>66</v>
      </c>
      <c r="D25" s="508">
        <v>203.17999999999998</v>
      </c>
      <c r="E25" s="508">
        <f>'B6'!H28</f>
        <v>31.64</v>
      </c>
      <c r="F25" s="509">
        <f>E25-D25</f>
        <v>-171.53999999999996</v>
      </c>
      <c r="G25" s="500"/>
      <c r="H25" s="376"/>
      <c r="I25" s="376"/>
    </row>
    <row r="26" spans="1:18" ht="17.25" customHeight="1">
      <c r="A26" s="337" t="s">
        <v>155</v>
      </c>
      <c r="B26" s="507" t="s">
        <v>507</v>
      </c>
      <c r="C26" s="337" t="s">
        <v>45</v>
      </c>
      <c r="D26" s="508">
        <v>6426.77</v>
      </c>
      <c r="E26" s="508">
        <f>'B6'!H29</f>
        <v>6385.2900000000009</v>
      </c>
      <c r="F26" s="509">
        <f t="shared" si="1"/>
        <v>-41.479999999999563</v>
      </c>
      <c r="G26" s="500"/>
      <c r="H26" s="376"/>
      <c r="I26" s="376"/>
      <c r="Q26" s="341">
        <f>Q24*100</f>
        <v>3.125</v>
      </c>
    </row>
    <row r="27" spans="1:18" ht="18" customHeight="1">
      <c r="A27" s="337" t="s">
        <v>156</v>
      </c>
      <c r="B27" s="507" t="s">
        <v>46</v>
      </c>
      <c r="C27" s="337" t="s">
        <v>47</v>
      </c>
      <c r="D27" s="508">
        <v>20.9</v>
      </c>
      <c r="E27" s="508">
        <f>'B6'!H39</f>
        <v>3.86</v>
      </c>
      <c r="F27" s="509">
        <f t="shared" si="1"/>
        <v>-17.04</v>
      </c>
      <c r="G27" s="500"/>
      <c r="H27" s="376"/>
      <c r="I27" s="376"/>
    </row>
    <row r="28" spans="1:18" ht="15">
      <c r="A28" s="337" t="s">
        <v>157</v>
      </c>
      <c r="B28" s="507" t="s">
        <v>48</v>
      </c>
      <c r="C28" s="337" t="s">
        <v>49</v>
      </c>
      <c r="D28" s="508"/>
      <c r="E28" s="508">
        <f>'B6'!H46</f>
        <v>0</v>
      </c>
      <c r="F28" s="509"/>
      <c r="G28" s="500"/>
      <c r="H28" s="376"/>
      <c r="I28" s="376"/>
    </row>
    <row r="29" spans="1:18" ht="15">
      <c r="A29" s="337" t="s">
        <v>158</v>
      </c>
      <c r="B29" s="507" t="s">
        <v>50</v>
      </c>
      <c r="C29" s="337" t="s">
        <v>51</v>
      </c>
      <c r="D29" s="508">
        <v>28.5</v>
      </c>
      <c r="E29" s="508">
        <f>'B6'!H40</f>
        <v>21.15</v>
      </c>
      <c r="F29" s="509">
        <f>E29-D29</f>
        <v>-7.3500000000000014</v>
      </c>
      <c r="G29" s="500"/>
      <c r="H29" s="376"/>
      <c r="I29" s="376"/>
    </row>
    <row r="30" spans="1:18" ht="15">
      <c r="A30" s="337" t="s">
        <v>159</v>
      </c>
      <c r="B30" s="507" t="s">
        <v>52</v>
      </c>
      <c r="C30" s="337" t="s">
        <v>53</v>
      </c>
      <c r="D30" s="508">
        <v>880.71</v>
      </c>
      <c r="E30" s="508">
        <f>'B6'!H49</f>
        <v>807.09</v>
      </c>
      <c r="F30" s="509">
        <f>E30-D30</f>
        <v>-73.62</v>
      </c>
      <c r="G30" s="500"/>
      <c r="H30" s="376"/>
      <c r="I30" s="513">
        <f>8050.81-E16</f>
        <v>-654.34999999999945</v>
      </c>
    </row>
    <row r="31" spans="1:18" ht="15">
      <c r="A31" s="337" t="s">
        <v>160</v>
      </c>
      <c r="B31" s="507" t="s">
        <v>54</v>
      </c>
      <c r="C31" s="337" t="s">
        <v>55</v>
      </c>
      <c r="D31" s="508">
        <v>111.30000000000001</v>
      </c>
      <c r="E31" s="508">
        <f>'B6'!H50</f>
        <v>125.06</v>
      </c>
      <c r="F31" s="509">
        <f>E31-D31</f>
        <v>13.759999999999991</v>
      </c>
      <c r="G31" s="500"/>
      <c r="H31" s="376"/>
      <c r="I31" s="376"/>
    </row>
    <row r="32" spans="1:18" ht="15">
      <c r="A32" s="337" t="s">
        <v>161</v>
      </c>
      <c r="B32" s="507" t="s">
        <v>56</v>
      </c>
      <c r="C32" s="337" t="s">
        <v>57</v>
      </c>
      <c r="D32" s="508">
        <v>33.31</v>
      </c>
      <c r="E32" s="508">
        <f>'B6'!H51</f>
        <v>20.970000000000002</v>
      </c>
      <c r="F32" s="509">
        <f>E32-D32</f>
        <v>-12.34</v>
      </c>
      <c r="G32" s="500"/>
      <c r="H32" s="376"/>
      <c r="I32" s="376"/>
    </row>
    <row r="33" spans="1:9" ht="15">
      <c r="A33" s="337" t="s">
        <v>162</v>
      </c>
      <c r="B33" s="507" t="s">
        <v>58</v>
      </c>
      <c r="C33" s="337" t="s">
        <v>59</v>
      </c>
      <c r="D33" s="508">
        <v>1</v>
      </c>
      <c r="E33" s="508">
        <f>'B6'!H52</f>
        <v>5.03</v>
      </c>
      <c r="F33" s="509">
        <f>E33-D33</f>
        <v>4.03</v>
      </c>
      <c r="G33" s="500"/>
      <c r="H33" s="376"/>
      <c r="I33" s="376"/>
    </row>
    <row r="34" spans="1:9" ht="15">
      <c r="A34" s="337" t="s">
        <v>163</v>
      </c>
      <c r="B34" s="507" t="s">
        <v>60</v>
      </c>
      <c r="C34" s="337" t="s">
        <v>61</v>
      </c>
      <c r="D34" s="508">
        <v>0</v>
      </c>
      <c r="E34" s="508">
        <f>'B6'!H53</f>
        <v>0</v>
      </c>
      <c r="F34" s="509"/>
      <c r="G34" s="500"/>
      <c r="H34" s="376"/>
      <c r="I34" s="376"/>
    </row>
    <row r="35" spans="1:9" ht="15">
      <c r="A35" s="337" t="s">
        <v>164</v>
      </c>
      <c r="B35" s="507" t="s">
        <v>62</v>
      </c>
      <c r="C35" s="337" t="s">
        <v>63</v>
      </c>
      <c r="D35" s="508">
        <v>9.3400000000000016</v>
      </c>
      <c r="E35" s="508">
        <f>'B6'!H41</f>
        <v>5.8500000000000005</v>
      </c>
      <c r="F35" s="509">
        <f t="shared" ref="F35:F43" si="2">E35-D35</f>
        <v>-3.4900000000000011</v>
      </c>
      <c r="G35" s="500"/>
      <c r="H35" s="376"/>
      <c r="I35" s="376"/>
    </row>
    <row r="36" spans="1:9" ht="15">
      <c r="A36" s="337" t="s">
        <v>165</v>
      </c>
      <c r="B36" s="507" t="s">
        <v>508</v>
      </c>
      <c r="C36" s="337" t="s">
        <v>64</v>
      </c>
      <c r="D36" s="508">
        <v>170.36</v>
      </c>
      <c r="E36" s="508">
        <f>'B6'!H42</f>
        <v>120.85</v>
      </c>
      <c r="F36" s="509">
        <f t="shared" si="2"/>
        <v>-49.510000000000019</v>
      </c>
      <c r="G36" s="500"/>
      <c r="H36" s="376"/>
      <c r="I36" s="376"/>
    </row>
    <row r="37" spans="1:9" ht="15">
      <c r="A37" s="337" t="s">
        <v>167</v>
      </c>
      <c r="B37" s="507" t="s">
        <v>67</v>
      </c>
      <c r="C37" s="337" t="s">
        <v>68</v>
      </c>
      <c r="D37" s="508">
        <v>17.21</v>
      </c>
      <c r="E37" s="508">
        <f>'B6'!H47</f>
        <v>13.25</v>
      </c>
      <c r="F37" s="509">
        <f t="shared" si="2"/>
        <v>-3.9600000000000009</v>
      </c>
      <c r="G37" s="500"/>
      <c r="H37" s="376"/>
      <c r="I37" s="376"/>
    </row>
    <row r="38" spans="1:9" ht="15">
      <c r="A38" s="337" t="s">
        <v>509</v>
      </c>
      <c r="B38" s="507" t="s">
        <v>69</v>
      </c>
      <c r="C38" s="337" t="s">
        <v>70</v>
      </c>
      <c r="D38" s="508">
        <v>23.57</v>
      </c>
      <c r="E38" s="508">
        <f>'B6'!H48</f>
        <v>5.85</v>
      </c>
      <c r="F38" s="509">
        <f t="shared" si="2"/>
        <v>-17.72</v>
      </c>
      <c r="G38" s="500"/>
      <c r="H38" s="376"/>
      <c r="I38" s="376"/>
    </row>
    <row r="39" spans="1:9" ht="15">
      <c r="A39" s="337" t="s">
        <v>510</v>
      </c>
      <c r="B39" s="507" t="s">
        <v>71</v>
      </c>
      <c r="C39" s="337" t="s">
        <v>72</v>
      </c>
      <c r="D39" s="508">
        <v>1.45</v>
      </c>
      <c r="E39" s="508">
        <f>'B6'!H54</f>
        <v>0.27</v>
      </c>
      <c r="F39" s="509">
        <f t="shared" si="2"/>
        <v>-1.18</v>
      </c>
      <c r="G39" s="500"/>
      <c r="H39" s="376"/>
      <c r="I39" s="376"/>
    </row>
    <row r="40" spans="1:9" ht="15">
      <c r="A40" s="337" t="s">
        <v>511</v>
      </c>
      <c r="B40" s="507" t="s">
        <v>73</v>
      </c>
      <c r="C40" s="337" t="s">
        <v>74</v>
      </c>
      <c r="D40" s="508">
        <v>1031.26</v>
      </c>
      <c r="E40" s="508">
        <f>'B6'!H55</f>
        <v>988.56000000000017</v>
      </c>
      <c r="F40" s="509">
        <f t="shared" si="2"/>
        <v>-42.699999999999818</v>
      </c>
      <c r="G40" s="500"/>
      <c r="H40" s="376"/>
      <c r="I40" s="376"/>
    </row>
    <row r="41" spans="1:9" ht="15">
      <c r="A41" s="337" t="s">
        <v>512</v>
      </c>
      <c r="B41" s="507" t="s">
        <v>75</v>
      </c>
      <c r="C41" s="337" t="s">
        <v>76</v>
      </c>
      <c r="D41" s="508">
        <v>57.489999999999995</v>
      </c>
      <c r="E41" s="508">
        <f>'B6'!H56</f>
        <v>64.550000000000011</v>
      </c>
      <c r="F41" s="509">
        <f t="shared" si="2"/>
        <v>7.0600000000000165</v>
      </c>
      <c r="G41" s="500"/>
      <c r="H41" s="376"/>
      <c r="I41" s="376"/>
    </row>
    <row r="42" spans="1:9" ht="15">
      <c r="A42" s="337" t="s">
        <v>513</v>
      </c>
      <c r="B42" s="507" t="s">
        <v>77</v>
      </c>
      <c r="C42" s="337" t="s">
        <v>78</v>
      </c>
      <c r="D42" s="508">
        <v>0.47</v>
      </c>
      <c r="E42" s="508">
        <f>'B6'!H57</f>
        <v>14.63</v>
      </c>
      <c r="F42" s="509">
        <f t="shared" si="2"/>
        <v>14.16</v>
      </c>
      <c r="G42" s="500"/>
      <c r="H42" s="376"/>
      <c r="I42" s="376"/>
    </row>
    <row r="43" spans="1:9" s="502" customFormat="1" ht="14.25">
      <c r="A43" s="503">
        <v>3</v>
      </c>
      <c r="B43" s="504" t="s">
        <v>79</v>
      </c>
      <c r="C43" s="503" t="s">
        <v>80</v>
      </c>
      <c r="D43" s="505">
        <v>136.43999999999988</v>
      </c>
      <c r="E43" s="505">
        <f>'B6'!H58</f>
        <v>155.36000000000001</v>
      </c>
      <c r="F43" s="506">
        <f t="shared" si="2"/>
        <v>18.92000000000013</v>
      </c>
      <c r="G43" s="500"/>
      <c r="H43" s="501"/>
      <c r="I43" s="501"/>
    </row>
    <row r="44" spans="1:9" s="502" customFormat="1" ht="15">
      <c r="A44" s="514">
        <v>4</v>
      </c>
      <c r="B44" s="515" t="s">
        <v>514</v>
      </c>
      <c r="C44" s="514" t="s">
        <v>515</v>
      </c>
      <c r="D44" s="516"/>
      <c r="E44" s="517"/>
      <c r="F44" s="518"/>
      <c r="G44" s="501"/>
      <c r="H44" s="501"/>
      <c r="I44" s="501"/>
    </row>
    <row r="45" spans="1:9" s="502" customFormat="1" ht="15">
      <c r="A45" s="519">
        <v>5</v>
      </c>
      <c r="B45" s="520" t="s">
        <v>516</v>
      </c>
      <c r="C45" s="519" t="s">
        <v>517</v>
      </c>
      <c r="D45" s="521"/>
      <c r="E45" s="522"/>
      <c r="F45" s="523"/>
      <c r="G45" s="501"/>
      <c r="H45" s="501"/>
      <c r="I45" s="501"/>
    </row>
    <row r="46" spans="1:9" s="502" customFormat="1" ht="14.25">
      <c r="A46" s="524">
        <v>6</v>
      </c>
      <c r="B46" s="525" t="s">
        <v>518</v>
      </c>
      <c r="C46" s="524" t="s">
        <v>519</v>
      </c>
      <c r="D46" s="526"/>
      <c r="E46" s="526">
        <f>E31</f>
        <v>125.06</v>
      </c>
      <c r="F46" s="527">
        <f>E46-D46</f>
        <v>125.06</v>
      </c>
      <c r="G46" s="501"/>
      <c r="H46" s="501"/>
      <c r="I46" s="501"/>
    </row>
    <row r="49" spans="5:5">
      <c r="E49" s="341" t="s">
        <v>316</v>
      </c>
    </row>
  </sheetData>
  <mergeCells count="6">
    <mergeCell ref="F1:F2"/>
    <mergeCell ref="A1:A3"/>
    <mergeCell ref="B1:B3"/>
    <mergeCell ref="C1:C3"/>
    <mergeCell ref="D1:D3"/>
    <mergeCell ref="E1:E3"/>
  </mergeCells>
  <pageMargins left="0.7" right="0.3"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1"/>
  <sheetViews>
    <sheetView tabSelected="1" zoomScale="80" zoomScaleNormal="80" workbookViewId="0">
      <selection activeCell="F9" sqref="F9"/>
    </sheetView>
  </sheetViews>
  <sheetFormatPr defaultColWidth="9.140625" defaultRowHeight="12.75"/>
  <cols>
    <col min="1" max="1" width="7.42578125" style="81" customWidth="1"/>
    <col min="2" max="2" width="48.28515625" style="31" customWidth="1"/>
    <col min="3" max="3" width="10.85546875" style="121" customWidth="1"/>
    <col min="4" max="4" width="17.42578125" style="122" customWidth="1"/>
    <col min="5" max="5" width="19.140625" style="122" customWidth="1"/>
    <col min="6" max="6" width="15" style="122" customWidth="1"/>
    <col min="7" max="7" width="14.7109375" style="122" customWidth="1"/>
    <col min="8" max="9" width="15" style="122" customWidth="1"/>
    <col min="10" max="11" width="14.5703125" style="122" customWidth="1"/>
    <col min="12" max="13" width="15" style="122" customWidth="1"/>
    <col min="14" max="14" width="14.28515625" style="122" customWidth="1"/>
    <col min="15" max="15" width="15" style="122" customWidth="1"/>
    <col min="16" max="16" width="8.140625" style="122" customWidth="1"/>
    <col min="17" max="17" width="8.42578125" style="122" customWidth="1"/>
    <col min="18" max="18" width="8" style="122" customWidth="1"/>
    <col min="19" max="19" width="8.140625" style="122" customWidth="1"/>
    <col min="20" max="20" width="7.85546875" style="122" customWidth="1"/>
    <col min="21" max="21" width="7.42578125" style="122" customWidth="1"/>
    <col min="22" max="22" width="8.28515625" style="122" customWidth="1"/>
    <col min="23" max="32" width="9.140625" style="122"/>
    <col min="33" max="16384" width="9.140625" style="31"/>
  </cols>
  <sheetData>
    <row r="1" spans="1:32" ht="15.75">
      <c r="A1" s="739" t="s">
        <v>469</v>
      </c>
      <c r="B1" s="739"/>
      <c r="C1" s="284"/>
      <c r="D1" s="124"/>
      <c r="E1" s="124"/>
      <c r="F1" s="124"/>
      <c r="G1" s="124"/>
      <c r="H1" s="124"/>
      <c r="I1" s="124"/>
      <c r="J1" s="124"/>
      <c r="K1" s="124"/>
      <c r="L1" s="124"/>
      <c r="M1" s="124"/>
      <c r="N1" s="124"/>
      <c r="O1" s="124"/>
    </row>
    <row r="2" spans="1:32" ht="15.75">
      <c r="A2" s="740" t="s">
        <v>468</v>
      </c>
      <c r="B2" s="740"/>
      <c r="C2" s="740"/>
      <c r="D2" s="740"/>
      <c r="E2" s="740"/>
      <c r="F2" s="740"/>
      <c r="G2" s="740"/>
      <c r="H2" s="740"/>
      <c r="I2" s="740"/>
      <c r="J2" s="740"/>
      <c r="K2" s="740"/>
      <c r="L2" s="740"/>
      <c r="M2" s="740"/>
      <c r="N2" s="740"/>
      <c r="O2" s="740"/>
    </row>
    <row r="3" spans="1:32" ht="15.75">
      <c r="A3" s="741" t="s">
        <v>0</v>
      </c>
      <c r="B3" s="741"/>
      <c r="C3" s="741"/>
      <c r="D3" s="741"/>
      <c r="E3" s="741"/>
      <c r="F3" s="741"/>
      <c r="G3" s="741"/>
      <c r="H3" s="741"/>
      <c r="I3" s="741"/>
      <c r="J3" s="741"/>
      <c r="K3" s="741"/>
      <c r="L3" s="741"/>
      <c r="M3" s="741"/>
      <c r="N3" s="741"/>
      <c r="O3" s="741"/>
    </row>
    <row r="4" spans="1:32" s="30" customFormat="1" ht="15.75">
      <c r="A4" s="714" t="s">
        <v>1</v>
      </c>
      <c r="B4" s="714" t="s">
        <v>2</v>
      </c>
      <c r="C4" s="742" t="s">
        <v>3</v>
      </c>
      <c r="D4" s="742" t="s">
        <v>4</v>
      </c>
      <c r="E4" s="742" t="s">
        <v>5</v>
      </c>
      <c r="F4" s="742"/>
      <c r="G4" s="742"/>
      <c r="H4" s="742"/>
      <c r="I4" s="742"/>
      <c r="J4" s="742"/>
      <c r="K4" s="742"/>
      <c r="L4" s="742"/>
      <c r="M4" s="742"/>
      <c r="N4" s="742"/>
      <c r="O4" s="742"/>
      <c r="P4" s="123"/>
      <c r="Q4" s="123"/>
      <c r="R4" s="123"/>
      <c r="S4" s="123"/>
      <c r="T4" s="123"/>
      <c r="U4" s="123"/>
      <c r="V4" s="123"/>
      <c r="W4" s="124"/>
      <c r="X4" s="124"/>
      <c r="Y4" s="124"/>
      <c r="Z4" s="124"/>
      <c r="AA4" s="124"/>
      <c r="AB4" s="124"/>
      <c r="AC4" s="124"/>
      <c r="AD4" s="124"/>
      <c r="AE4" s="124"/>
      <c r="AF4" s="124"/>
    </row>
    <row r="5" spans="1:32" s="30" customFormat="1" ht="4.5" hidden="1" customHeight="1">
      <c r="A5" s="714"/>
      <c r="B5" s="714"/>
      <c r="C5" s="742"/>
      <c r="D5" s="742"/>
      <c r="E5" s="742"/>
      <c r="F5" s="742"/>
      <c r="G5" s="742"/>
      <c r="H5" s="742"/>
      <c r="I5" s="742"/>
      <c r="J5" s="742"/>
      <c r="K5" s="742"/>
      <c r="L5" s="742"/>
      <c r="M5" s="742"/>
      <c r="N5" s="742"/>
      <c r="O5" s="742"/>
      <c r="P5" s="123"/>
      <c r="Q5" s="123"/>
      <c r="R5" s="123"/>
      <c r="S5" s="123"/>
      <c r="T5" s="123"/>
      <c r="U5" s="123"/>
      <c r="V5" s="123"/>
      <c r="W5" s="124"/>
      <c r="X5" s="124"/>
      <c r="Y5" s="124"/>
      <c r="Z5" s="124"/>
      <c r="AA5" s="124"/>
      <c r="AB5" s="124"/>
      <c r="AC5" s="124"/>
      <c r="AD5" s="124"/>
      <c r="AE5" s="124"/>
      <c r="AF5" s="124"/>
    </row>
    <row r="6" spans="1:32" s="30" customFormat="1" ht="36.75" customHeight="1">
      <c r="A6" s="714"/>
      <c r="B6" s="714"/>
      <c r="C6" s="742"/>
      <c r="D6" s="742"/>
      <c r="E6" s="285" t="s">
        <v>111</v>
      </c>
      <c r="F6" s="286" t="s">
        <v>190</v>
      </c>
      <c r="G6" s="286" t="s">
        <v>169</v>
      </c>
      <c r="H6" s="286" t="s">
        <v>170</v>
      </c>
      <c r="I6" s="286" t="s">
        <v>172</v>
      </c>
      <c r="J6" s="286" t="s">
        <v>198</v>
      </c>
      <c r="K6" s="286" t="s">
        <v>197</v>
      </c>
      <c r="L6" s="286" t="s">
        <v>191</v>
      </c>
      <c r="M6" s="286" t="s">
        <v>189</v>
      </c>
      <c r="N6" s="286" t="s">
        <v>174</v>
      </c>
      <c r="O6" s="286" t="s">
        <v>173</v>
      </c>
      <c r="P6" s="125"/>
      <c r="Q6" s="125"/>
      <c r="R6" s="125"/>
      <c r="S6" s="125"/>
      <c r="T6" s="125"/>
      <c r="U6" s="125"/>
      <c r="V6" s="114"/>
      <c r="W6" s="124"/>
      <c r="X6" s="124"/>
      <c r="Y6" s="124"/>
      <c r="Z6" s="124"/>
      <c r="AA6" s="124"/>
      <c r="AB6" s="124"/>
      <c r="AC6" s="124"/>
      <c r="AD6" s="124"/>
      <c r="AE6" s="124"/>
      <c r="AF6" s="124"/>
    </row>
    <row r="7" spans="1:32" s="37" customFormat="1" ht="15.75" customHeight="1">
      <c r="A7" s="287">
        <v>-1</v>
      </c>
      <c r="B7" s="288">
        <v>-2</v>
      </c>
      <c r="C7" s="289">
        <v>-3</v>
      </c>
      <c r="D7" s="290" t="s">
        <v>130</v>
      </c>
      <c r="E7" s="291">
        <v>-5</v>
      </c>
      <c r="F7" s="291">
        <v>-6</v>
      </c>
      <c r="G7" s="291">
        <v>-7</v>
      </c>
      <c r="H7" s="291">
        <v>-8</v>
      </c>
      <c r="I7" s="291">
        <v>-9</v>
      </c>
      <c r="J7" s="291">
        <v>-10</v>
      </c>
      <c r="K7" s="291">
        <v>-11</v>
      </c>
      <c r="L7" s="291">
        <v>-12</v>
      </c>
      <c r="M7" s="291">
        <v>-13</v>
      </c>
      <c r="N7" s="291">
        <v>-14</v>
      </c>
      <c r="O7" s="291">
        <v>-15</v>
      </c>
      <c r="P7" s="126"/>
      <c r="Q7" s="126"/>
      <c r="R7" s="126"/>
      <c r="S7" s="126"/>
      <c r="T7" s="126"/>
      <c r="U7" s="126"/>
      <c r="V7" s="126"/>
      <c r="W7" s="127"/>
      <c r="X7" s="127"/>
      <c r="Y7" s="127"/>
      <c r="Z7" s="127"/>
      <c r="AA7" s="127"/>
      <c r="AB7" s="127"/>
      <c r="AC7" s="127"/>
      <c r="AD7" s="127"/>
      <c r="AE7" s="127"/>
      <c r="AF7" s="127"/>
    </row>
    <row r="8" spans="1:32" s="41" customFormat="1" ht="15.75">
      <c r="A8" s="292"/>
      <c r="B8" s="29" t="s">
        <v>129</v>
      </c>
      <c r="C8" s="293"/>
      <c r="D8" s="294">
        <f>D9+D22</f>
        <v>15.55</v>
      </c>
      <c r="E8" s="294">
        <f t="shared" ref="E8:O8" si="0">E9+E22</f>
        <v>0</v>
      </c>
      <c r="F8" s="294">
        <f t="shared" si="0"/>
        <v>0</v>
      </c>
      <c r="G8" s="294">
        <f t="shared" si="0"/>
        <v>1.55</v>
      </c>
      <c r="H8" s="294">
        <f t="shared" si="0"/>
        <v>1</v>
      </c>
      <c r="I8" s="294">
        <f t="shared" si="0"/>
        <v>0</v>
      </c>
      <c r="J8" s="294">
        <f t="shared" si="0"/>
        <v>0</v>
      </c>
      <c r="K8" s="294">
        <f t="shared" si="0"/>
        <v>0</v>
      </c>
      <c r="L8" s="294">
        <f t="shared" si="0"/>
        <v>1</v>
      </c>
      <c r="M8" s="294">
        <f t="shared" si="0"/>
        <v>0</v>
      </c>
      <c r="N8" s="294">
        <f t="shared" si="0"/>
        <v>0</v>
      </c>
      <c r="O8" s="294">
        <f t="shared" si="0"/>
        <v>12</v>
      </c>
      <c r="P8" s="128"/>
      <c r="Q8" s="128"/>
      <c r="R8" s="128"/>
      <c r="S8" s="128"/>
      <c r="T8" s="128"/>
      <c r="U8" s="128"/>
      <c r="V8" s="128"/>
      <c r="W8" s="129"/>
      <c r="X8" s="129"/>
      <c r="Y8" s="129"/>
      <c r="Z8" s="129"/>
      <c r="AA8" s="129"/>
      <c r="AB8" s="129"/>
      <c r="AC8" s="129"/>
      <c r="AD8" s="129"/>
      <c r="AE8" s="129"/>
      <c r="AF8" s="129"/>
    </row>
    <row r="9" spans="1:32" s="32" customFormat="1" ht="15.75">
      <c r="A9" s="80">
        <v>1</v>
      </c>
      <c r="B9" s="15" t="s">
        <v>6</v>
      </c>
      <c r="C9" s="141" t="s">
        <v>7</v>
      </c>
      <c r="D9" s="296">
        <f t="shared" ref="D9:D21" si="1">SUM(E9:O9)</f>
        <v>15</v>
      </c>
      <c r="E9" s="295">
        <f>SUM(E13:E21)</f>
        <v>0</v>
      </c>
      <c r="F9" s="295">
        <f t="shared" ref="F9:O9" si="2">SUM(F13:F21)</f>
        <v>0</v>
      </c>
      <c r="G9" s="295">
        <f t="shared" si="2"/>
        <v>1</v>
      </c>
      <c r="H9" s="295">
        <f t="shared" si="2"/>
        <v>1</v>
      </c>
      <c r="I9" s="295">
        <f t="shared" si="2"/>
        <v>0</v>
      </c>
      <c r="J9" s="295">
        <f t="shared" si="2"/>
        <v>0</v>
      </c>
      <c r="K9" s="295">
        <f t="shared" si="2"/>
        <v>0</v>
      </c>
      <c r="L9" s="295">
        <f t="shared" si="2"/>
        <v>1</v>
      </c>
      <c r="M9" s="295">
        <f t="shared" si="2"/>
        <v>0</v>
      </c>
      <c r="N9" s="295">
        <f t="shared" si="2"/>
        <v>0</v>
      </c>
      <c r="O9" s="295">
        <f t="shared" si="2"/>
        <v>12</v>
      </c>
      <c r="P9" s="130"/>
      <c r="Q9" s="130"/>
      <c r="R9" s="130"/>
      <c r="S9" s="130"/>
      <c r="T9" s="130"/>
      <c r="U9" s="130"/>
      <c r="V9" s="130"/>
      <c r="W9" s="131"/>
      <c r="X9" s="131"/>
      <c r="Y9" s="131"/>
      <c r="Z9" s="131"/>
      <c r="AA9" s="131"/>
      <c r="AB9" s="131"/>
      <c r="AC9" s="131"/>
      <c r="AD9" s="131"/>
      <c r="AE9" s="131"/>
      <c r="AF9" s="131"/>
    </row>
    <row r="10" spans="1:32" ht="15.75">
      <c r="A10" s="79"/>
      <c r="B10" s="16" t="s">
        <v>94</v>
      </c>
      <c r="C10" s="132"/>
      <c r="D10" s="296"/>
      <c r="E10" s="133"/>
      <c r="F10" s="133"/>
      <c r="G10" s="133"/>
      <c r="H10" s="134"/>
      <c r="I10" s="133"/>
      <c r="J10" s="133"/>
      <c r="K10" s="133"/>
      <c r="L10" s="283"/>
      <c r="M10" s="133"/>
      <c r="N10" s="133"/>
      <c r="O10" s="135"/>
      <c r="P10" s="136"/>
      <c r="Q10" s="136"/>
      <c r="R10" s="136"/>
      <c r="S10" s="136"/>
      <c r="T10" s="136"/>
      <c r="U10" s="136"/>
      <c r="V10" s="136"/>
    </row>
    <row r="11" spans="1:32" ht="15.75">
      <c r="A11" s="79" t="s">
        <v>139</v>
      </c>
      <c r="B11" s="17" t="s">
        <v>8</v>
      </c>
      <c r="C11" s="137" t="s">
        <v>9</v>
      </c>
      <c r="D11" s="296">
        <f t="shared" si="1"/>
        <v>0</v>
      </c>
      <c r="E11" s="133"/>
      <c r="F11" s="133"/>
      <c r="G11" s="133"/>
      <c r="H11" s="134"/>
      <c r="I11" s="133"/>
      <c r="J11" s="133"/>
      <c r="K11" s="133"/>
      <c r="L11" s="283"/>
      <c r="M11" s="133"/>
      <c r="N11" s="133"/>
      <c r="O11" s="135"/>
      <c r="P11" s="136"/>
      <c r="Q11" s="136"/>
      <c r="R11" s="136"/>
      <c r="S11" s="136"/>
      <c r="T11" s="136"/>
      <c r="U11" s="136"/>
      <c r="V11" s="136"/>
    </row>
    <row r="12" spans="1:32" s="48" customFormat="1" ht="15.75">
      <c r="A12" s="79"/>
      <c r="B12" s="16" t="s">
        <v>10</v>
      </c>
      <c r="C12" s="132" t="s">
        <v>11</v>
      </c>
      <c r="D12" s="296">
        <f t="shared" si="1"/>
        <v>0</v>
      </c>
      <c r="E12" s="296"/>
      <c r="F12" s="296"/>
      <c r="G12" s="296"/>
      <c r="H12" s="296"/>
      <c r="I12" s="296"/>
      <c r="J12" s="296"/>
      <c r="K12" s="296"/>
      <c r="L12" s="296"/>
      <c r="M12" s="296"/>
      <c r="N12" s="296"/>
      <c r="O12" s="296"/>
      <c r="P12" s="138"/>
      <c r="Q12" s="138"/>
      <c r="R12" s="138"/>
      <c r="S12" s="138"/>
      <c r="T12" s="138"/>
      <c r="U12" s="138"/>
      <c r="V12" s="138"/>
      <c r="W12" s="139"/>
      <c r="X12" s="139"/>
      <c r="Y12" s="139"/>
      <c r="Z12" s="139"/>
      <c r="AA12" s="139"/>
      <c r="AB12" s="139"/>
      <c r="AC12" s="139"/>
      <c r="AD12" s="139"/>
      <c r="AE12" s="139"/>
      <c r="AF12" s="139"/>
    </row>
    <row r="13" spans="1:32" ht="15.75">
      <c r="A13" s="79" t="s">
        <v>140</v>
      </c>
      <c r="B13" s="16" t="s">
        <v>12</v>
      </c>
      <c r="C13" s="132" t="s">
        <v>13</v>
      </c>
      <c r="D13" s="296">
        <f t="shared" si="1"/>
        <v>0</v>
      </c>
      <c r="E13" s="296"/>
      <c r="F13" s="296"/>
      <c r="G13" s="296"/>
      <c r="H13" s="296"/>
      <c r="I13" s="296"/>
      <c r="J13" s="296"/>
      <c r="K13" s="297"/>
      <c r="L13" s="296"/>
      <c r="M13" s="296"/>
      <c r="N13" s="296"/>
      <c r="O13" s="296"/>
      <c r="P13" s="136"/>
      <c r="Q13" s="136"/>
      <c r="R13" s="136"/>
      <c r="S13" s="136"/>
      <c r="T13" s="136"/>
      <c r="U13" s="136"/>
      <c r="V13" s="136"/>
    </row>
    <row r="14" spans="1:32" ht="15.75">
      <c r="A14" s="79" t="s">
        <v>141</v>
      </c>
      <c r="B14" s="16" t="s">
        <v>14</v>
      </c>
      <c r="C14" s="132" t="s">
        <v>15</v>
      </c>
      <c r="D14" s="296">
        <f t="shared" si="1"/>
        <v>15</v>
      </c>
      <c r="E14" s="296"/>
      <c r="F14" s="296"/>
      <c r="G14" s="296">
        <v>1</v>
      </c>
      <c r="H14" s="296">
        <v>1</v>
      </c>
      <c r="I14" s="296"/>
      <c r="J14" s="296"/>
      <c r="K14" s="296"/>
      <c r="L14" s="296">
        <v>1</v>
      </c>
      <c r="M14" s="296"/>
      <c r="N14" s="296"/>
      <c r="O14" s="296">
        <v>12</v>
      </c>
      <c r="P14" s="136"/>
      <c r="Q14" s="136"/>
      <c r="R14" s="136"/>
      <c r="S14" s="136"/>
      <c r="T14" s="136"/>
      <c r="U14" s="136"/>
      <c r="V14" s="136"/>
    </row>
    <row r="15" spans="1:32" ht="15.75">
      <c r="A15" s="79" t="s">
        <v>142</v>
      </c>
      <c r="B15" s="16" t="s">
        <v>16</v>
      </c>
      <c r="C15" s="132" t="s">
        <v>17</v>
      </c>
      <c r="D15" s="296">
        <f t="shared" si="1"/>
        <v>0</v>
      </c>
      <c r="E15" s="296"/>
      <c r="F15" s="296"/>
      <c r="G15" s="296"/>
      <c r="H15" s="296"/>
      <c r="I15" s="296"/>
      <c r="J15" s="296"/>
      <c r="K15" s="296"/>
      <c r="L15" s="296"/>
      <c r="M15" s="296"/>
      <c r="N15" s="296"/>
      <c r="O15" s="296"/>
      <c r="P15" s="136"/>
      <c r="Q15" s="136"/>
      <c r="R15" s="136"/>
      <c r="S15" s="136"/>
      <c r="T15" s="136"/>
      <c r="U15" s="136"/>
      <c r="V15" s="136"/>
    </row>
    <row r="16" spans="1:32" ht="15.75">
      <c r="A16" s="79" t="s">
        <v>143</v>
      </c>
      <c r="B16" s="16" t="s">
        <v>18</v>
      </c>
      <c r="C16" s="132" t="s">
        <v>19</v>
      </c>
      <c r="D16" s="296">
        <f t="shared" si="1"/>
        <v>0</v>
      </c>
      <c r="E16" s="133"/>
      <c r="F16" s="133"/>
      <c r="G16" s="133"/>
      <c r="H16" s="133"/>
      <c r="I16" s="133"/>
      <c r="J16" s="133"/>
      <c r="K16" s="133"/>
      <c r="L16" s="283"/>
      <c r="M16" s="133"/>
      <c r="N16" s="133"/>
      <c r="O16" s="135"/>
      <c r="P16" s="136"/>
      <c r="Q16" s="140"/>
      <c r="R16" s="136"/>
      <c r="S16" s="136"/>
      <c r="T16" s="136"/>
      <c r="U16" s="136"/>
      <c r="V16" s="136"/>
    </row>
    <row r="17" spans="1:32" ht="15.75">
      <c r="A17" s="79" t="s">
        <v>144</v>
      </c>
      <c r="B17" s="16" t="s">
        <v>20</v>
      </c>
      <c r="C17" s="132" t="s">
        <v>21</v>
      </c>
      <c r="D17" s="296">
        <f t="shared" si="1"/>
        <v>0</v>
      </c>
      <c r="E17" s="296"/>
      <c r="F17" s="296"/>
      <c r="G17" s="296"/>
      <c r="H17" s="296"/>
      <c r="I17" s="296"/>
      <c r="J17" s="296"/>
      <c r="K17" s="296"/>
      <c r="L17" s="296"/>
      <c r="M17" s="296"/>
      <c r="N17" s="296"/>
      <c r="O17" s="296"/>
      <c r="P17" s="136"/>
      <c r="Q17" s="136"/>
      <c r="R17" s="136"/>
      <c r="S17" s="136"/>
      <c r="T17" s="136"/>
      <c r="U17" s="136"/>
      <c r="V17" s="136"/>
    </row>
    <row r="18" spans="1:32" ht="15.75">
      <c r="A18" s="79"/>
      <c r="B18" s="16" t="s">
        <v>277</v>
      </c>
      <c r="C18" s="132" t="s">
        <v>281</v>
      </c>
      <c r="D18" s="296">
        <f t="shared" si="1"/>
        <v>0</v>
      </c>
      <c r="E18" s="296"/>
      <c r="F18" s="296"/>
      <c r="G18" s="296"/>
      <c r="H18" s="296"/>
      <c r="I18" s="296"/>
      <c r="J18" s="296"/>
      <c r="K18" s="296"/>
      <c r="L18" s="296"/>
      <c r="M18" s="296"/>
      <c r="N18" s="296"/>
      <c r="O18" s="296"/>
      <c r="P18" s="136"/>
      <c r="Q18" s="136"/>
      <c r="R18" s="136"/>
      <c r="S18" s="136"/>
      <c r="T18" s="136"/>
      <c r="U18" s="136"/>
      <c r="V18" s="136"/>
    </row>
    <row r="19" spans="1:32" ht="15.75">
      <c r="A19" s="79" t="s">
        <v>145</v>
      </c>
      <c r="B19" s="16" t="s">
        <v>269</v>
      </c>
      <c r="C19" s="132" t="s">
        <v>23</v>
      </c>
      <c r="D19" s="296">
        <f t="shared" si="1"/>
        <v>0</v>
      </c>
      <c r="E19" s="296"/>
      <c r="F19" s="296"/>
      <c r="G19" s="296"/>
      <c r="H19" s="296"/>
      <c r="I19" s="296"/>
      <c r="J19" s="296"/>
      <c r="K19" s="296"/>
      <c r="L19" s="296"/>
      <c r="M19" s="296"/>
      <c r="N19" s="296"/>
      <c r="O19" s="296"/>
      <c r="P19" s="136"/>
      <c r="Q19" s="136"/>
      <c r="R19" s="136"/>
      <c r="S19" s="136"/>
      <c r="T19" s="136"/>
      <c r="U19" s="136"/>
      <c r="V19" s="136"/>
    </row>
    <row r="20" spans="1:32" ht="15.75">
      <c r="A20" s="435" t="s">
        <v>146</v>
      </c>
      <c r="B20" s="16" t="s">
        <v>24</v>
      </c>
      <c r="C20" s="132" t="s">
        <v>25</v>
      </c>
      <c r="D20" s="296">
        <f t="shared" si="1"/>
        <v>0</v>
      </c>
      <c r="E20" s="296"/>
      <c r="F20" s="296"/>
      <c r="G20" s="296"/>
      <c r="H20" s="296"/>
      <c r="I20" s="296"/>
      <c r="J20" s="296"/>
      <c r="K20" s="296"/>
      <c r="L20" s="296"/>
      <c r="M20" s="296"/>
      <c r="N20" s="296"/>
      <c r="O20" s="296"/>
      <c r="P20" s="136"/>
      <c r="Q20" s="136"/>
      <c r="R20" s="136"/>
      <c r="S20" s="136"/>
      <c r="T20" s="136"/>
      <c r="U20" s="136"/>
      <c r="V20" s="136"/>
    </row>
    <row r="21" spans="1:32" ht="15.75">
      <c r="A21" s="79" t="s">
        <v>147</v>
      </c>
      <c r="B21" s="16" t="s">
        <v>26</v>
      </c>
      <c r="C21" s="132" t="s">
        <v>27</v>
      </c>
      <c r="D21" s="296">
        <f t="shared" si="1"/>
        <v>0</v>
      </c>
      <c r="E21" s="296"/>
      <c r="F21" s="296"/>
      <c r="G21" s="296"/>
      <c r="H21" s="296"/>
      <c r="I21" s="296"/>
      <c r="J21" s="296"/>
      <c r="K21" s="296"/>
      <c r="L21" s="296"/>
      <c r="M21" s="296"/>
      <c r="N21" s="296"/>
      <c r="O21" s="296"/>
      <c r="P21" s="136"/>
      <c r="Q21" s="136"/>
      <c r="R21" s="136"/>
      <c r="S21" s="136"/>
      <c r="T21" s="136"/>
      <c r="U21" s="136"/>
      <c r="V21" s="136"/>
    </row>
    <row r="22" spans="1:32" s="38" customFormat="1" ht="15.75">
      <c r="A22" s="80">
        <v>2</v>
      </c>
      <c r="B22" s="15" t="s">
        <v>28</v>
      </c>
      <c r="C22" s="141" t="s">
        <v>29</v>
      </c>
      <c r="D22" s="295">
        <f>SUM(E22:O22)</f>
        <v>0.55000000000000004</v>
      </c>
      <c r="E22" s="295">
        <f>SUM(E24:E32)+SUM(E50:E61)</f>
        <v>0</v>
      </c>
      <c r="F22" s="295">
        <f t="shared" ref="F22:O22" si="3">SUM(F24:F32)+SUM(F50:F61)</f>
        <v>0</v>
      </c>
      <c r="G22" s="295">
        <f t="shared" si="3"/>
        <v>0.55000000000000004</v>
      </c>
      <c r="H22" s="295">
        <f t="shared" si="3"/>
        <v>0</v>
      </c>
      <c r="I22" s="295">
        <f t="shared" si="3"/>
        <v>0</v>
      </c>
      <c r="J22" s="295">
        <f t="shared" si="3"/>
        <v>0</v>
      </c>
      <c r="K22" s="295">
        <f t="shared" si="3"/>
        <v>0</v>
      </c>
      <c r="L22" s="295">
        <f t="shared" si="3"/>
        <v>0</v>
      </c>
      <c r="M22" s="295">
        <f t="shared" si="3"/>
        <v>0</v>
      </c>
      <c r="N22" s="295">
        <f t="shared" si="3"/>
        <v>0</v>
      </c>
      <c r="O22" s="295">
        <f t="shared" si="3"/>
        <v>0</v>
      </c>
      <c r="P22" s="142"/>
      <c r="Q22" s="142"/>
      <c r="R22" s="142"/>
      <c r="S22" s="142"/>
      <c r="T22" s="142"/>
      <c r="U22" s="142"/>
      <c r="V22" s="142"/>
      <c r="W22" s="143"/>
      <c r="X22" s="143"/>
      <c r="Y22" s="143"/>
      <c r="Z22" s="143"/>
      <c r="AA22" s="143"/>
      <c r="AB22" s="143"/>
      <c r="AC22" s="143"/>
      <c r="AD22" s="143"/>
      <c r="AE22" s="143"/>
      <c r="AF22" s="143"/>
    </row>
    <row r="23" spans="1:32" ht="15.75">
      <c r="A23" s="79"/>
      <c r="B23" s="16" t="s">
        <v>94</v>
      </c>
      <c r="C23" s="132"/>
      <c r="D23" s="296"/>
      <c r="E23" s="296"/>
      <c r="F23" s="296"/>
      <c r="G23" s="296"/>
      <c r="H23" s="296"/>
      <c r="I23" s="296"/>
      <c r="J23" s="296"/>
      <c r="K23" s="296"/>
      <c r="L23" s="296"/>
      <c r="M23" s="296"/>
      <c r="N23" s="296"/>
      <c r="O23" s="296"/>
      <c r="P23" s="136"/>
      <c r="Q23" s="136"/>
      <c r="R23" s="136"/>
      <c r="S23" s="136"/>
      <c r="T23" s="136"/>
      <c r="U23" s="136"/>
      <c r="V23" s="136"/>
    </row>
    <row r="24" spans="1:32" ht="15.75">
      <c r="A24" s="79" t="s">
        <v>148</v>
      </c>
      <c r="B24" s="16" t="s">
        <v>30</v>
      </c>
      <c r="C24" s="132" t="s">
        <v>31</v>
      </c>
      <c r="D24" s="296"/>
      <c r="E24" s="296"/>
      <c r="F24" s="296"/>
      <c r="G24" s="296"/>
      <c r="H24" s="296"/>
      <c r="I24" s="296"/>
      <c r="J24" s="296"/>
      <c r="K24" s="296"/>
      <c r="L24" s="296"/>
      <c r="M24" s="296"/>
      <c r="N24" s="296"/>
      <c r="O24" s="296"/>
      <c r="P24" s="136"/>
      <c r="Q24" s="136"/>
      <c r="R24" s="136"/>
      <c r="S24" s="136"/>
      <c r="T24" s="136"/>
      <c r="U24" s="136"/>
      <c r="V24" s="136"/>
    </row>
    <row r="25" spans="1:32" ht="15.75">
      <c r="A25" s="79" t="s">
        <v>138</v>
      </c>
      <c r="B25" s="16" t="s">
        <v>32</v>
      </c>
      <c r="C25" s="132" t="s">
        <v>33</v>
      </c>
      <c r="D25" s="296"/>
      <c r="E25" s="296"/>
      <c r="F25" s="296"/>
      <c r="G25" s="296"/>
      <c r="H25" s="296"/>
      <c r="I25" s="296"/>
      <c r="J25" s="296"/>
      <c r="K25" s="296"/>
      <c r="L25" s="296"/>
      <c r="M25" s="296"/>
      <c r="N25" s="296"/>
      <c r="O25" s="296"/>
      <c r="P25" s="136"/>
      <c r="Q25" s="136"/>
      <c r="R25" s="136"/>
      <c r="S25" s="136"/>
      <c r="T25" s="136"/>
      <c r="U25" s="136"/>
      <c r="V25" s="136"/>
    </row>
    <row r="26" spans="1:32" ht="15.75">
      <c r="A26" s="79" t="s">
        <v>149</v>
      </c>
      <c r="B26" s="16" t="s">
        <v>34</v>
      </c>
      <c r="C26" s="132" t="s">
        <v>35</v>
      </c>
      <c r="D26" s="296"/>
      <c r="E26" s="296"/>
      <c r="F26" s="296"/>
      <c r="G26" s="296"/>
      <c r="H26" s="296"/>
      <c r="I26" s="296"/>
      <c r="J26" s="296"/>
      <c r="K26" s="296"/>
      <c r="L26" s="296"/>
      <c r="M26" s="296"/>
      <c r="N26" s="296"/>
      <c r="O26" s="296"/>
      <c r="P26" s="136"/>
      <c r="Q26" s="136"/>
      <c r="R26" s="136"/>
      <c r="S26" s="136"/>
      <c r="T26" s="136"/>
      <c r="U26" s="136"/>
      <c r="V26" s="136"/>
    </row>
    <row r="27" spans="1:32" ht="15.75">
      <c r="A27" s="79" t="s">
        <v>150</v>
      </c>
      <c r="B27" s="16" t="s">
        <v>36</v>
      </c>
      <c r="C27" s="132" t="s">
        <v>37</v>
      </c>
      <c r="D27" s="296"/>
      <c r="E27" s="296"/>
      <c r="F27" s="296"/>
      <c r="G27" s="296"/>
      <c r="H27" s="296"/>
      <c r="I27" s="296"/>
      <c r="J27" s="296"/>
      <c r="K27" s="296"/>
      <c r="L27" s="296"/>
      <c r="M27" s="296"/>
      <c r="N27" s="296"/>
      <c r="O27" s="296"/>
      <c r="P27" s="136"/>
      <c r="Q27" s="136"/>
      <c r="R27" s="136"/>
      <c r="S27" s="136"/>
      <c r="T27" s="136"/>
      <c r="U27" s="136"/>
      <c r="V27" s="136"/>
    </row>
    <row r="28" spans="1:32" ht="15.75">
      <c r="A28" s="79" t="s">
        <v>151</v>
      </c>
      <c r="B28" s="16" t="s">
        <v>38</v>
      </c>
      <c r="C28" s="132" t="s">
        <v>39</v>
      </c>
      <c r="D28" s="296"/>
      <c r="E28" s="296"/>
      <c r="F28" s="296"/>
      <c r="G28" s="296"/>
      <c r="H28" s="296"/>
      <c r="I28" s="296"/>
      <c r="J28" s="296"/>
      <c r="K28" s="296"/>
      <c r="L28" s="296"/>
      <c r="M28" s="296"/>
      <c r="N28" s="296"/>
      <c r="O28" s="296"/>
      <c r="P28" s="136"/>
      <c r="Q28" s="136"/>
      <c r="R28" s="136"/>
      <c r="S28" s="136"/>
      <c r="T28" s="136"/>
      <c r="U28" s="136"/>
      <c r="V28" s="136"/>
    </row>
    <row r="29" spans="1:32" ht="15.75">
      <c r="A29" s="79" t="s">
        <v>152</v>
      </c>
      <c r="B29" s="52" t="s">
        <v>40</v>
      </c>
      <c r="C29" s="132" t="s">
        <v>41</v>
      </c>
      <c r="D29" s="296"/>
      <c r="E29" s="296"/>
      <c r="F29" s="296"/>
      <c r="G29" s="296"/>
      <c r="H29" s="296"/>
      <c r="I29" s="296"/>
      <c r="J29" s="296"/>
      <c r="K29" s="296"/>
      <c r="L29" s="296"/>
      <c r="M29" s="296"/>
      <c r="N29" s="296"/>
      <c r="O29" s="296"/>
      <c r="P29" s="136"/>
      <c r="Q29" s="136"/>
      <c r="R29" s="136"/>
      <c r="S29" s="136"/>
      <c r="T29" s="136"/>
      <c r="U29" s="136"/>
      <c r="V29" s="136"/>
    </row>
    <row r="30" spans="1:32" ht="15.75">
      <c r="A30" s="79" t="s">
        <v>153</v>
      </c>
      <c r="B30" s="16" t="s">
        <v>42</v>
      </c>
      <c r="C30" s="132" t="s">
        <v>43</v>
      </c>
      <c r="D30" s="296"/>
      <c r="E30" s="296"/>
      <c r="F30" s="296"/>
      <c r="G30" s="296"/>
      <c r="H30" s="296"/>
      <c r="I30" s="296"/>
      <c r="J30" s="296"/>
      <c r="K30" s="296"/>
      <c r="L30" s="296"/>
      <c r="M30" s="296"/>
      <c r="N30" s="296"/>
      <c r="O30" s="296"/>
      <c r="P30" s="136"/>
      <c r="Q30" s="136"/>
      <c r="R30" s="136"/>
      <c r="S30" s="136"/>
      <c r="T30" s="136"/>
      <c r="U30" s="136"/>
      <c r="V30" s="136"/>
    </row>
    <row r="31" spans="1:32" ht="15.75">
      <c r="A31" s="79" t="s">
        <v>154</v>
      </c>
      <c r="B31" s="16" t="s">
        <v>65</v>
      </c>
      <c r="C31" s="132" t="s">
        <v>66</v>
      </c>
      <c r="D31" s="296">
        <f>SUM(E31:O31)</f>
        <v>0</v>
      </c>
      <c r="E31" s="296"/>
      <c r="F31" s="296"/>
      <c r="G31" s="296"/>
      <c r="H31" s="296"/>
      <c r="I31" s="296"/>
      <c r="J31" s="296"/>
      <c r="K31" s="296"/>
      <c r="L31" s="296"/>
      <c r="M31" s="296"/>
      <c r="N31" s="296"/>
      <c r="O31" s="296"/>
      <c r="P31" s="136"/>
      <c r="Q31" s="136"/>
      <c r="R31" s="136"/>
      <c r="S31" s="136"/>
      <c r="T31" s="136"/>
      <c r="U31" s="136"/>
      <c r="V31" s="136"/>
    </row>
    <row r="32" spans="1:32" ht="31.5">
      <c r="A32" s="79" t="s">
        <v>155</v>
      </c>
      <c r="B32" s="16" t="s">
        <v>44</v>
      </c>
      <c r="C32" s="132" t="s">
        <v>45</v>
      </c>
      <c r="D32" s="296">
        <f>SUM(D34:D49)</f>
        <v>0.5</v>
      </c>
      <c r="E32" s="296">
        <f t="shared" ref="E32:O32" si="4">SUM(E34:E49)</f>
        <v>0</v>
      </c>
      <c r="F32" s="296">
        <f t="shared" si="4"/>
        <v>0</v>
      </c>
      <c r="G32" s="296">
        <f t="shared" si="4"/>
        <v>0.5</v>
      </c>
      <c r="H32" s="296">
        <f t="shared" si="4"/>
        <v>0</v>
      </c>
      <c r="I32" s="296">
        <f t="shared" si="4"/>
        <v>0</v>
      </c>
      <c r="J32" s="296">
        <f t="shared" si="4"/>
        <v>0</v>
      </c>
      <c r="K32" s="296">
        <f t="shared" si="4"/>
        <v>0</v>
      </c>
      <c r="L32" s="296">
        <f t="shared" si="4"/>
        <v>0</v>
      </c>
      <c r="M32" s="296">
        <f t="shared" si="4"/>
        <v>0</v>
      </c>
      <c r="N32" s="296">
        <f t="shared" si="4"/>
        <v>0</v>
      </c>
      <c r="O32" s="296">
        <f t="shared" si="4"/>
        <v>0</v>
      </c>
      <c r="P32" s="136"/>
      <c r="Q32" s="136"/>
      <c r="R32" s="136"/>
      <c r="S32" s="136"/>
      <c r="T32" s="136"/>
      <c r="U32" s="136"/>
      <c r="V32" s="136"/>
    </row>
    <row r="33" spans="1:22" ht="15.75">
      <c r="A33" s="79"/>
      <c r="B33" s="16" t="s">
        <v>94</v>
      </c>
      <c r="C33" s="132"/>
      <c r="D33" s="296"/>
      <c r="E33" s="296"/>
      <c r="F33" s="296"/>
      <c r="G33" s="296"/>
      <c r="H33" s="296"/>
      <c r="I33" s="296"/>
      <c r="J33" s="296"/>
      <c r="K33" s="296"/>
      <c r="L33" s="296"/>
      <c r="M33" s="296"/>
      <c r="N33" s="296"/>
      <c r="O33" s="296"/>
      <c r="P33" s="136"/>
      <c r="Q33" s="136"/>
      <c r="R33" s="136"/>
      <c r="S33" s="136"/>
      <c r="T33" s="136"/>
      <c r="U33" s="136"/>
      <c r="V33" s="136"/>
    </row>
    <row r="34" spans="1:22" ht="15.75">
      <c r="A34" s="79" t="s">
        <v>221</v>
      </c>
      <c r="B34" s="16" t="s">
        <v>228</v>
      </c>
      <c r="C34" s="132" t="s">
        <v>196</v>
      </c>
      <c r="D34" s="296">
        <f t="shared" ref="D34:D43" si="5">SUM(E34:O34)</f>
        <v>0.5</v>
      </c>
      <c r="E34" s="296"/>
      <c r="F34" s="296"/>
      <c r="G34" s="296">
        <v>0.5</v>
      </c>
      <c r="H34" s="296"/>
      <c r="I34" s="296"/>
      <c r="J34" s="296"/>
      <c r="K34" s="296"/>
      <c r="L34" s="296"/>
      <c r="M34" s="296"/>
      <c r="N34" s="296"/>
      <c r="O34" s="296"/>
      <c r="P34" s="136"/>
      <c r="Q34" s="136"/>
      <c r="R34" s="136"/>
      <c r="S34" s="136"/>
      <c r="T34" s="136"/>
      <c r="U34" s="136"/>
      <c r="V34" s="136"/>
    </row>
    <row r="35" spans="1:22" ht="15.75">
      <c r="A35" s="79" t="s">
        <v>221</v>
      </c>
      <c r="B35" s="16" t="s">
        <v>305</v>
      </c>
      <c r="C35" s="132" t="s">
        <v>194</v>
      </c>
      <c r="D35" s="296"/>
      <c r="E35" s="296"/>
      <c r="F35" s="296"/>
      <c r="G35" s="296"/>
      <c r="H35" s="296"/>
      <c r="I35" s="296"/>
      <c r="J35" s="296"/>
      <c r="K35" s="296"/>
      <c r="L35" s="296"/>
      <c r="M35" s="296"/>
      <c r="N35" s="296"/>
      <c r="O35" s="296"/>
      <c r="P35" s="136"/>
      <c r="Q35" s="136"/>
      <c r="R35" s="136"/>
      <c r="S35" s="136"/>
      <c r="T35" s="136"/>
      <c r="U35" s="136"/>
      <c r="V35" s="136"/>
    </row>
    <row r="36" spans="1:22" ht="15.75">
      <c r="A36" s="79" t="s">
        <v>221</v>
      </c>
      <c r="B36" s="16" t="s">
        <v>222</v>
      </c>
      <c r="C36" s="132" t="s">
        <v>232</v>
      </c>
      <c r="D36" s="296"/>
      <c r="E36" s="296"/>
      <c r="F36" s="296"/>
      <c r="G36" s="296"/>
      <c r="H36" s="296"/>
      <c r="I36" s="296"/>
      <c r="J36" s="296"/>
      <c r="K36" s="296"/>
      <c r="L36" s="296"/>
      <c r="M36" s="296"/>
      <c r="N36" s="296"/>
      <c r="O36" s="296"/>
      <c r="P36" s="136"/>
      <c r="Q36" s="136"/>
      <c r="R36" s="136"/>
      <c r="S36" s="136"/>
      <c r="T36" s="136"/>
      <c r="U36" s="136"/>
      <c r="V36" s="136"/>
    </row>
    <row r="37" spans="1:22" ht="15.75">
      <c r="A37" s="79" t="s">
        <v>221</v>
      </c>
      <c r="B37" s="16" t="s">
        <v>223</v>
      </c>
      <c r="C37" s="132" t="s">
        <v>233</v>
      </c>
      <c r="D37" s="296"/>
      <c r="E37" s="296"/>
      <c r="F37" s="296"/>
      <c r="G37" s="296"/>
      <c r="H37" s="296"/>
      <c r="I37" s="296"/>
      <c r="J37" s="296"/>
      <c r="K37" s="296"/>
      <c r="L37" s="296"/>
      <c r="M37" s="296"/>
      <c r="N37" s="296"/>
      <c r="O37" s="296"/>
      <c r="P37" s="136"/>
      <c r="Q37" s="136"/>
      <c r="R37" s="136"/>
      <c r="S37" s="136"/>
      <c r="T37" s="136"/>
      <c r="U37" s="136"/>
      <c r="V37" s="136"/>
    </row>
    <row r="38" spans="1:22" ht="15.75">
      <c r="A38" s="79" t="s">
        <v>221</v>
      </c>
      <c r="B38" s="16" t="s">
        <v>306</v>
      </c>
      <c r="C38" s="132" t="s">
        <v>192</v>
      </c>
      <c r="D38" s="296"/>
      <c r="E38" s="296"/>
      <c r="F38" s="296"/>
      <c r="G38" s="296"/>
      <c r="H38" s="296"/>
      <c r="I38" s="296"/>
      <c r="J38" s="296"/>
      <c r="K38" s="296"/>
      <c r="L38" s="296"/>
      <c r="M38" s="296"/>
      <c r="N38" s="296"/>
      <c r="O38" s="296"/>
      <c r="P38" s="136"/>
      <c r="Q38" s="136"/>
      <c r="R38" s="136"/>
      <c r="S38" s="136"/>
      <c r="T38" s="136"/>
      <c r="U38" s="136"/>
      <c r="V38" s="136"/>
    </row>
    <row r="39" spans="1:22" ht="15.75">
      <c r="A39" s="79" t="s">
        <v>221</v>
      </c>
      <c r="B39" s="52" t="s">
        <v>225</v>
      </c>
      <c r="C39" s="132" t="s">
        <v>195</v>
      </c>
      <c r="D39" s="296">
        <f t="shared" si="5"/>
        <v>0</v>
      </c>
      <c r="E39" s="296"/>
      <c r="F39" s="296"/>
      <c r="G39" s="296"/>
      <c r="H39" s="296"/>
      <c r="I39" s="296"/>
      <c r="J39" s="296"/>
      <c r="K39" s="296"/>
      <c r="L39" s="296"/>
      <c r="M39" s="296"/>
      <c r="N39" s="296"/>
      <c r="O39" s="296"/>
      <c r="P39" s="136"/>
      <c r="Q39" s="136"/>
      <c r="R39" s="136"/>
      <c r="S39" s="136"/>
      <c r="T39" s="136"/>
      <c r="U39" s="136"/>
      <c r="V39" s="136"/>
    </row>
    <row r="40" spans="1:22" ht="15.75">
      <c r="A40" s="79" t="s">
        <v>221</v>
      </c>
      <c r="B40" s="16" t="s">
        <v>282</v>
      </c>
      <c r="C40" s="132" t="s">
        <v>193</v>
      </c>
      <c r="D40" s="296"/>
      <c r="E40" s="296"/>
      <c r="F40" s="296"/>
      <c r="G40" s="296"/>
      <c r="H40" s="296"/>
      <c r="I40" s="296"/>
      <c r="J40" s="296"/>
      <c r="K40" s="296"/>
      <c r="L40" s="296"/>
      <c r="M40" s="296"/>
      <c r="N40" s="296"/>
      <c r="O40" s="296"/>
      <c r="P40" s="136"/>
      <c r="Q40" s="136"/>
      <c r="R40" s="136"/>
      <c r="S40" s="136"/>
      <c r="T40" s="136"/>
      <c r="U40" s="136"/>
      <c r="V40" s="136"/>
    </row>
    <row r="41" spans="1:22" ht="15.75">
      <c r="A41" s="79" t="s">
        <v>221</v>
      </c>
      <c r="B41" s="16" t="s">
        <v>307</v>
      </c>
      <c r="C41" s="132" t="s">
        <v>236</v>
      </c>
      <c r="D41" s="296"/>
      <c r="E41" s="296"/>
      <c r="F41" s="296"/>
      <c r="G41" s="296"/>
      <c r="H41" s="296"/>
      <c r="I41" s="296"/>
      <c r="J41" s="296"/>
      <c r="K41" s="296"/>
      <c r="L41" s="296"/>
      <c r="M41" s="296"/>
      <c r="N41" s="296"/>
      <c r="O41" s="296"/>
      <c r="P41" s="136"/>
      <c r="Q41" s="136"/>
      <c r="R41" s="136"/>
      <c r="S41" s="136"/>
      <c r="T41" s="136"/>
      <c r="U41" s="136"/>
      <c r="V41" s="136"/>
    </row>
    <row r="42" spans="1:22" ht="15.75">
      <c r="A42" s="79" t="s">
        <v>221</v>
      </c>
      <c r="B42" s="16" t="s">
        <v>278</v>
      </c>
      <c r="C42" s="132" t="s">
        <v>279</v>
      </c>
      <c r="D42" s="296"/>
      <c r="E42" s="296"/>
      <c r="F42" s="296"/>
      <c r="G42" s="296"/>
      <c r="H42" s="296"/>
      <c r="I42" s="296"/>
      <c r="J42" s="296"/>
      <c r="K42" s="296"/>
      <c r="L42" s="296"/>
      <c r="M42" s="296"/>
      <c r="N42" s="296"/>
      <c r="O42" s="296"/>
      <c r="P42" s="136"/>
      <c r="Q42" s="136"/>
      <c r="R42" s="136"/>
      <c r="S42" s="136"/>
      <c r="T42" s="136"/>
      <c r="U42" s="136"/>
      <c r="V42" s="136"/>
    </row>
    <row r="43" spans="1:22" ht="15.75">
      <c r="A43" s="79" t="s">
        <v>221</v>
      </c>
      <c r="B43" s="16" t="s">
        <v>46</v>
      </c>
      <c r="C43" s="132" t="s">
        <v>47</v>
      </c>
      <c r="D43" s="296">
        <f t="shared" si="5"/>
        <v>0</v>
      </c>
      <c r="E43" s="296"/>
      <c r="F43" s="296"/>
      <c r="G43" s="296"/>
      <c r="H43" s="296"/>
      <c r="I43" s="296"/>
      <c r="J43" s="296"/>
      <c r="K43" s="296"/>
      <c r="L43" s="296"/>
      <c r="M43" s="296"/>
      <c r="N43" s="296"/>
      <c r="O43" s="296"/>
      <c r="P43" s="136"/>
      <c r="Q43" s="136"/>
      <c r="R43" s="136"/>
      <c r="S43" s="136"/>
      <c r="T43" s="136"/>
      <c r="U43" s="136"/>
      <c r="V43" s="136"/>
    </row>
    <row r="44" spans="1:22" ht="15.75">
      <c r="A44" s="79" t="s">
        <v>221</v>
      </c>
      <c r="B44" s="16" t="s">
        <v>50</v>
      </c>
      <c r="C44" s="132" t="s">
        <v>51</v>
      </c>
      <c r="D44" s="296"/>
      <c r="E44" s="296"/>
      <c r="F44" s="296"/>
      <c r="G44" s="296"/>
      <c r="H44" s="296"/>
      <c r="I44" s="296"/>
      <c r="J44" s="296"/>
      <c r="K44" s="296"/>
      <c r="L44" s="296"/>
      <c r="M44" s="296"/>
      <c r="N44" s="296"/>
      <c r="O44" s="296"/>
      <c r="P44" s="136"/>
      <c r="Q44" s="136"/>
      <c r="R44" s="136"/>
      <c r="S44" s="136"/>
      <c r="T44" s="136"/>
      <c r="U44" s="136"/>
      <c r="V44" s="136"/>
    </row>
    <row r="45" spans="1:22" ht="15.75">
      <c r="A45" s="79" t="s">
        <v>221</v>
      </c>
      <c r="B45" s="16" t="s">
        <v>62</v>
      </c>
      <c r="C45" s="132" t="s">
        <v>63</v>
      </c>
      <c r="D45" s="296"/>
      <c r="E45" s="296"/>
      <c r="F45" s="296"/>
      <c r="G45" s="296"/>
      <c r="H45" s="296"/>
      <c r="I45" s="296"/>
      <c r="J45" s="296"/>
      <c r="K45" s="296"/>
      <c r="L45" s="296"/>
      <c r="M45" s="296"/>
      <c r="N45" s="296"/>
      <c r="O45" s="296"/>
      <c r="P45" s="136"/>
      <c r="Q45" s="136"/>
      <c r="R45" s="136"/>
      <c r="S45" s="136"/>
      <c r="T45" s="136"/>
      <c r="U45" s="136"/>
      <c r="V45" s="136"/>
    </row>
    <row r="46" spans="1:22" ht="15.75">
      <c r="A46" s="280" t="s">
        <v>221</v>
      </c>
      <c r="B46" s="281" t="s">
        <v>280</v>
      </c>
      <c r="C46" s="282" t="s">
        <v>64</v>
      </c>
      <c r="D46" s="296"/>
      <c r="E46" s="298"/>
      <c r="F46" s="298"/>
      <c r="G46" s="298"/>
      <c r="H46" s="298"/>
      <c r="I46" s="298"/>
      <c r="J46" s="298"/>
      <c r="K46" s="298"/>
      <c r="L46" s="298"/>
      <c r="M46" s="298"/>
      <c r="N46" s="298"/>
      <c r="O46" s="298"/>
      <c r="P46" s="136"/>
      <c r="Q46" s="136"/>
      <c r="R46" s="136"/>
      <c r="S46" s="136"/>
      <c r="T46" s="136"/>
      <c r="U46" s="136"/>
      <c r="V46" s="136"/>
    </row>
    <row r="47" spans="1:22" ht="15.75">
      <c r="A47" s="299" t="s">
        <v>221</v>
      </c>
      <c r="B47" s="275" t="s">
        <v>226</v>
      </c>
      <c r="C47" s="300" t="s">
        <v>234</v>
      </c>
      <c r="D47" s="296"/>
      <c r="E47" s="301"/>
      <c r="F47" s="301"/>
      <c r="G47" s="301"/>
      <c r="H47" s="301"/>
      <c r="I47" s="301"/>
      <c r="J47" s="301"/>
      <c r="K47" s="301"/>
      <c r="L47" s="301"/>
      <c r="M47" s="301"/>
      <c r="N47" s="301"/>
      <c r="O47" s="301"/>
    </row>
    <row r="48" spans="1:22" ht="15.75">
      <c r="A48" s="299" t="s">
        <v>221</v>
      </c>
      <c r="B48" s="275" t="s">
        <v>227</v>
      </c>
      <c r="C48" s="300" t="s">
        <v>235</v>
      </c>
      <c r="D48" s="296"/>
      <c r="E48" s="301"/>
      <c r="F48" s="301"/>
      <c r="G48" s="301"/>
      <c r="H48" s="301"/>
      <c r="I48" s="301"/>
      <c r="J48" s="301"/>
      <c r="K48" s="301"/>
      <c r="L48" s="301"/>
      <c r="M48" s="301"/>
      <c r="N48" s="301"/>
      <c r="O48" s="301"/>
    </row>
    <row r="49" spans="1:15" ht="15.75">
      <c r="A49" s="299" t="s">
        <v>221</v>
      </c>
      <c r="B49" s="275" t="s">
        <v>231</v>
      </c>
      <c r="C49" s="300" t="s">
        <v>206</v>
      </c>
      <c r="D49" s="296"/>
      <c r="E49" s="301"/>
      <c r="F49" s="301"/>
      <c r="G49" s="301"/>
      <c r="H49" s="301"/>
      <c r="I49" s="301"/>
      <c r="J49" s="301"/>
      <c r="K49" s="301"/>
      <c r="L49" s="301"/>
      <c r="M49" s="301"/>
      <c r="N49" s="301"/>
      <c r="O49" s="301"/>
    </row>
    <row r="50" spans="1:15" ht="15.75">
      <c r="A50" s="299" t="s">
        <v>156</v>
      </c>
      <c r="B50" s="275" t="s">
        <v>48</v>
      </c>
      <c r="C50" s="300" t="s">
        <v>49</v>
      </c>
      <c r="D50" s="296"/>
      <c r="E50" s="303"/>
      <c r="F50" s="301"/>
      <c r="G50" s="301"/>
      <c r="H50" s="301"/>
      <c r="I50" s="301"/>
      <c r="J50" s="301"/>
      <c r="K50" s="301"/>
      <c r="L50" s="301"/>
      <c r="M50" s="301"/>
      <c r="N50" s="301"/>
      <c r="O50" s="301"/>
    </row>
    <row r="51" spans="1:15" ht="15.75">
      <c r="A51" s="299" t="s">
        <v>157</v>
      </c>
      <c r="B51" s="275" t="s">
        <v>67</v>
      </c>
      <c r="C51" s="300" t="s">
        <v>68</v>
      </c>
      <c r="D51" s="296"/>
      <c r="E51" s="302"/>
      <c r="F51" s="301"/>
      <c r="G51" s="301"/>
      <c r="H51" s="301"/>
      <c r="I51" s="301"/>
      <c r="J51" s="301"/>
      <c r="K51" s="301"/>
      <c r="L51" s="301"/>
      <c r="M51" s="301"/>
      <c r="N51" s="301"/>
      <c r="O51" s="301"/>
    </row>
    <row r="52" spans="1:15" ht="15.75">
      <c r="A52" s="299" t="s">
        <v>158</v>
      </c>
      <c r="B52" s="275" t="s">
        <v>69</v>
      </c>
      <c r="C52" s="300" t="s">
        <v>70</v>
      </c>
      <c r="D52" s="296"/>
      <c r="E52" s="301"/>
      <c r="F52" s="302"/>
      <c r="G52" s="301"/>
      <c r="H52" s="301"/>
      <c r="I52" s="301"/>
      <c r="J52" s="301"/>
      <c r="K52" s="301"/>
      <c r="L52" s="301"/>
      <c r="M52" s="301"/>
      <c r="N52" s="301"/>
      <c r="O52" s="301"/>
    </row>
    <row r="53" spans="1:15" ht="15.75">
      <c r="A53" s="299" t="s">
        <v>159</v>
      </c>
      <c r="B53" s="275" t="s">
        <v>52</v>
      </c>
      <c r="C53" s="300" t="s">
        <v>53</v>
      </c>
      <c r="D53" s="296"/>
      <c r="E53" s="302"/>
      <c r="F53" s="301"/>
      <c r="G53" s="301"/>
      <c r="H53" s="301"/>
      <c r="I53" s="301"/>
      <c r="J53" s="301"/>
      <c r="K53" s="301"/>
      <c r="L53" s="301"/>
      <c r="M53" s="301"/>
      <c r="N53" s="301"/>
      <c r="O53" s="301"/>
    </row>
    <row r="54" spans="1:15" ht="15.75">
      <c r="A54" s="299" t="s">
        <v>160</v>
      </c>
      <c r="B54" s="275" t="s">
        <v>54</v>
      </c>
      <c r="C54" s="300" t="s">
        <v>55</v>
      </c>
      <c r="D54" s="296"/>
      <c r="E54" s="301"/>
      <c r="F54" s="301"/>
      <c r="G54" s="301"/>
      <c r="H54" s="301"/>
      <c r="I54" s="301"/>
      <c r="J54" s="301"/>
      <c r="K54" s="301"/>
      <c r="L54" s="301"/>
      <c r="M54" s="301"/>
      <c r="N54" s="301"/>
      <c r="O54" s="301"/>
    </row>
    <row r="55" spans="1:15" ht="15.75">
      <c r="A55" s="299" t="s">
        <v>161</v>
      </c>
      <c r="B55" s="275" t="s">
        <v>56</v>
      </c>
      <c r="C55" s="300" t="s">
        <v>57</v>
      </c>
      <c r="D55" s="296"/>
      <c r="E55" s="301"/>
      <c r="F55" s="301"/>
      <c r="G55" s="301"/>
      <c r="H55" s="301"/>
      <c r="I55" s="301"/>
      <c r="J55" s="301"/>
      <c r="K55" s="301"/>
      <c r="L55" s="301"/>
      <c r="M55" s="301"/>
      <c r="N55" s="301"/>
      <c r="O55" s="301"/>
    </row>
    <row r="56" spans="1:15" ht="15.75">
      <c r="A56" s="299" t="s">
        <v>162</v>
      </c>
      <c r="B56" s="275" t="s">
        <v>58</v>
      </c>
      <c r="C56" s="300" t="s">
        <v>59</v>
      </c>
      <c r="D56" s="296"/>
      <c r="E56" s="301"/>
      <c r="F56" s="301"/>
      <c r="G56" s="301"/>
      <c r="H56" s="301"/>
      <c r="I56" s="301"/>
      <c r="J56" s="301"/>
      <c r="K56" s="301"/>
      <c r="L56" s="301"/>
      <c r="M56" s="301"/>
      <c r="N56" s="301"/>
      <c r="O56" s="301"/>
    </row>
    <row r="57" spans="1:15" ht="15.75">
      <c r="A57" s="299" t="s">
        <v>163</v>
      </c>
      <c r="B57" s="275" t="s">
        <v>60</v>
      </c>
      <c r="C57" s="300" t="s">
        <v>61</v>
      </c>
      <c r="D57" s="296"/>
      <c r="E57" s="301"/>
      <c r="F57" s="301"/>
      <c r="G57" s="301"/>
      <c r="H57" s="301"/>
      <c r="I57" s="301"/>
      <c r="J57" s="301"/>
      <c r="K57" s="301"/>
      <c r="L57" s="301"/>
      <c r="M57" s="301"/>
      <c r="N57" s="301"/>
      <c r="O57" s="301"/>
    </row>
    <row r="58" spans="1:15" ht="15.75">
      <c r="A58" s="299" t="s">
        <v>164</v>
      </c>
      <c r="B58" s="275" t="s">
        <v>308</v>
      </c>
      <c r="C58" s="300" t="s">
        <v>72</v>
      </c>
      <c r="D58" s="296"/>
      <c r="E58" s="301"/>
      <c r="F58" s="301"/>
      <c r="G58" s="301"/>
      <c r="H58" s="301"/>
      <c r="I58" s="301"/>
      <c r="J58" s="301"/>
      <c r="K58" s="301"/>
      <c r="L58" s="301"/>
      <c r="M58" s="301"/>
      <c r="N58" s="301"/>
      <c r="O58" s="301"/>
    </row>
    <row r="59" spans="1:15" ht="15.75">
      <c r="A59" s="299" t="s">
        <v>165</v>
      </c>
      <c r="B59" s="275" t="s">
        <v>73</v>
      </c>
      <c r="C59" s="300" t="s">
        <v>74</v>
      </c>
      <c r="D59" s="296"/>
      <c r="E59" s="301"/>
      <c r="F59" s="301"/>
      <c r="G59" s="301"/>
      <c r="H59" s="301"/>
      <c r="I59" s="301"/>
      <c r="J59" s="301"/>
      <c r="K59" s="301"/>
      <c r="L59" s="301"/>
      <c r="M59" s="301"/>
      <c r="N59" s="301"/>
      <c r="O59" s="301"/>
    </row>
    <row r="60" spans="1:15" ht="15.75">
      <c r="A60" s="299" t="s">
        <v>166</v>
      </c>
      <c r="B60" s="275" t="s">
        <v>75</v>
      </c>
      <c r="C60" s="300" t="s">
        <v>76</v>
      </c>
      <c r="D60" s="296"/>
      <c r="E60" s="301"/>
      <c r="F60" s="301"/>
      <c r="G60" s="301"/>
      <c r="H60" s="301"/>
      <c r="I60" s="301"/>
      <c r="J60" s="301"/>
      <c r="K60" s="301"/>
      <c r="L60" s="301"/>
      <c r="M60" s="301"/>
      <c r="N60" s="301"/>
      <c r="O60" s="301"/>
    </row>
    <row r="61" spans="1:15" ht="15.75">
      <c r="A61" s="304" t="s">
        <v>167</v>
      </c>
      <c r="B61" s="276" t="s">
        <v>77</v>
      </c>
      <c r="C61" s="305" t="s">
        <v>78</v>
      </c>
      <c r="D61" s="306"/>
      <c r="E61" s="306"/>
      <c r="F61" s="306"/>
      <c r="G61" s="306">
        <v>0.05</v>
      </c>
      <c r="H61" s="306"/>
      <c r="I61" s="306"/>
      <c r="J61" s="306"/>
      <c r="K61" s="306"/>
      <c r="L61" s="306"/>
      <c r="M61" s="306"/>
      <c r="N61" s="306"/>
      <c r="O61" s="306"/>
    </row>
  </sheetData>
  <mergeCells count="8">
    <mergeCell ref="D4:D6"/>
    <mergeCell ref="E4:O5"/>
    <mergeCell ref="A1:B1"/>
    <mergeCell ref="A4:A6"/>
    <mergeCell ref="B4:B6"/>
    <mergeCell ref="C4:C6"/>
    <mergeCell ref="A2:O2"/>
    <mergeCell ref="A3:O3"/>
  </mergeCells>
  <phoneticPr fontId="11" type="noConversion"/>
  <pageMargins left="0.92" right="0.15" top="0.41" bottom="0.3" header="0.37" footer="0.2"/>
  <pageSetup paperSize="8" scale="85" fitToWidth="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1"/>
  <sheetViews>
    <sheetView topLeftCell="A9" zoomScale="86" zoomScaleNormal="86" workbookViewId="0">
      <pane xSplit="4" ySplit="1" topLeftCell="U152" activePane="bottomRight" state="frozen"/>
      <selection activeCell="A9" sqref="A9"/>
      <selection pane="topRight" activeCell="E9" sqref="E9"/>
      <selection pane="bottomLeft" activeCell="A10" sqref="A10"/>
      <selection pane="bottomRight" activeCell="B154" sqref="B154"/>
    </sheetView>
  </sheetViews>
  <sheetFormatPr defaultRowHeight="15"/>
  <cols>
    <col min="1" max="1" width="8.5703125" style="702" customWidth="1"/>
    <col min="2" max="2" width="28.140625" style="692" customWidth="1"/>
    <col min="3" max="3" width="9.140625" style="535" customWidth="1"/>
    <col min="4" max="4" width="8.140625" style="535" customWidth="1"/>
    <col min="5" max="5" width="9.42578125" style="693" customWidth="1"/>
    <col min="6" max="6" width="9.7109375" style="693" customWidth="1"/>
    <col min="7" max="7" width="10" style="693" customWidth="1"/>
    <col min="8" max="8" width="8.140625" style="693" customWidth="1"/>
    <col min="9" max="9" width="7" style="693" customWidth="1"/>
    <col min="10" max="10" width="9.42578125" style="693" customWidth="1"/>
    <col min="11" max="11" width="8.85546875" style="693" customWidth="1"/>
    <col min="12" max="12" width="8" style="693" customWidth="1"/>
    <col min="13" max="13" width="7.140625" style="693" customWidth="1"/>
    <col min="14" max="15" width="7.42578125" style="693" customWidth="1"/>
    <col min="16" max="16" width="7.140625" style="693" customWidth="1"/>
    <col min="17" max="17" width="7.7109375" style="693" customWidth="1"/>
    <col min="18" max="18" width="6.28515625" style="693" customWidth="1"/>
    <col min="19" max="19" width="6.7109375" style="693" customWidth="1"/>
    <col min="20" max="20" width="6.85546875" style="693" customWidth="1"/>
    <col min="21" max="21" width="8.140625" style="693" customWidth="1"/>
    <col min="22" max="22" width="17.5703125" style="695" customWidth="1"/>
    <col min="23" max="23" width="29.7109375" style="532" customWidth="1"/>
    <col min="24" max="257" width="9.140625" style="533"/>
    <col min="258" max="258" width="10.42578125" style="533" customWidth="1"/>
    <col min="259" max="259" width="51.28515625" style="533" customWidth="1"/>
    <col min="260" max="260" width="9.140625" style="533"/>
    <col min="261" max="261" width="8.140625" style="533" customWidth="1"/>
    <col min="262" max="262" width="9.42578125" style="533" customWidth="1"/>
    <col min="263" max="264" width="9.7109375" style="533" customWidth="1"/>
    <col min="265" max="266" width="10" style="533" customWidth="1"/>
    <col min="267" max="267" width="10.7109375" style="533" customWidth="1"/>
    <col min="268" max="268" width="10.140625" style="533" customWidth="1"/>
    <col min="269" max="276" width="9.140625" style="533" customWidth="1"/>
    <col min="277" max="277" width="9.28515625" style="533" customWidth="1"/>
    <col min="278" max="278" width="17.5703125" style="533" customWidth="1"/>
    <col min="279" max="279" width="37.85546875" style="533" customWidth="1"/>
    <col min="280" max="513" width="9.140625" style="533"/>
    <col min="514" max="514" width="10.42578125" style="533" customWidth="1"/>
    <col min="515" max="515" width="51.28515625" style="533" customWidth="1"/>
    <col min="516" max="516" width="9.140625" style="533"/>
    <col min="517" max="517" width="8.140625" style="533" customWidth="1"/>
    <col min="518" max="518" width="9.42578125" style="533" customWidth="1"/>
    <col min="519" max="520" width="9.7109375" style="533" customWidth="1"/>
    <col min="521" max="522" width="10" style="533" customWidth="1"/>
    <col min="523" max="523" width="10.7109375" style="533" customWidth="1"/>
    <col min="524" max="524" width="10.140625" style="533" customWidth="1"/>
    <col min="525" max="532" width="9.140625" style="533" customWidth="1"/>
    <col min="533" max="533" width="9.28515625" style="533" customWidth="1"/>
    <col min="534" max="534" width="17.5703125" style="533" customWidth="1"/>
    <col min="535" max="535" width="37.85546875" style="533" customWidth="1"/>
    <col min="536" max="769" width="9.140625" style="533"/>
    <col min="770" max="770" width="10.42578125" style="533" customWidth="1"/>
    <col min="771" max="771" width="51.28515625" style="533" customWidth="1"/>
    <col min="772" max="772" width="9.140625" style="533"/>
    <col min="773" max="773" width="8.140625" style="533" customWidth="1"/>
    <col min="774" max="774" width="9.42578125" style="533" customWidth="1"/>
    <col min="775" max="776" width="9.7109375" style="533" customWidth="1"/>
    <col min="777" max="778" width="10" style="533" customWidth="1"/>
    <col min="779" max="779" width="10.7109375" style="533" customWidth="1"/>
    <col min="780" max="780" width="10.140625" style="533" customWidth="1"/>
    <col min="781" max="788" width="9.140625" style="533" customWidth="1"/>
    <col min="789" max="789" width="9.28515625" style="533" customWidth="1"/>
    <col min="790" max="790" width="17.5703125" style="533" customWidth="1"/>
    <col min="791" max="791" width="37.85546875" style="533" customWidth="1"/>
    <col min="792" max="1025" width="9.140625" style="533"/>
    <col min="1026" max="1026" width="10.42578125" style="533" customWidth="1"/>
    <col min="1027" max="1027" width="51.28515625" style="533" customWidth="1"/>
    <col min="1028" max="1028" width="9.140625" style="533"/>
    <col min="1029" max="1029" width="8.140625" style="533" customWidth="1"/>
    <col min="1030" max="1030" width="9.42578125" style="533" customWidth="1"/>
    <col min="1031" max="1032" width="9.7109375" style="533" customWidth="1"/>
    <col min="1033" max="1034" width="10" style="533" customWidth="1"/>
    <col min="1035" max="1035" width="10.7109375" style="533" customWidth="1"/>
    <col min="1036" max="1036" width="10.140625" style="533" customWidth="1"/>
    <col min="1037" max="1044" width="9.140625" style="533" customWidth="1"/>
    <col min="1045" max="1045" width="9.28515625" style="533" customWidth="1"/>
    <col min="1046" max="1046" width="17.5703125" style="533" customWidth="1"/>
    <col min="1047" max="1047" width="37.85546875" style="533" customWidth="1"/>
    <col min="1048" max="1281" width="9.140625" style="533"/>
    <col min="1282" max="1282" width="10.42578125" style="533" customWidth="1"/>
    <col min="1283" max="1283" width="51.28515625" style="533" customWidth="1"/>
    <col min="1284" max="1284" width="9.140625" style="533"/>
    <col min="1285" max="1285" width="8.140625" style="533" customWidth="1"/>
    <col min="1286" max="1286" width="9.42578125" style="533" customWidth="1"/>
    <col min="1287" max="1288" width="9.7109375" style="533" customWidth="1"/>
    <col min="1289" max="1290" width="10" style="533" customWidth="1"/>
    <col min="1291" max="1291" width="10.7109375" style="533" customWidth="1"/>
    <col min="1292" max="1292" width="10.140625" style="533" customWidth="1"/>
    <col min="1293" max="1300" width="9.140625" style="533" customWidth="1"/>
    <col min="1301" max="1301" width="9.28515625" style="533" customWidth="1"/>
    <col min="1302" max="1302" width="17.5703125" style="533" customWidth="1"/>
    <col min="1303" max="1303" width="37.85546875" style="533" customWidth="1"/>
    <col min="1304" max="1537" width="9.140625" style="533"/>
    <col min="1538" max="1538" width="10.42578125" style="533" customWidth="1"/>
    <col min="1539" max="1539" width="51.28515625" style="533" customWidth="1"/>
    <col min="1540" max="1540" width="9.140625" style="533"/>
    <col min="1541" max="1541" width="8.140625" style="533" customWidth="1"/>
    <col min="1542" max="1542" width="9.42578125" style="533" customWidth="1"/>
    <col min="1543" max="1544" width="9.7109375" style="533" customWidth="1"/>
    <col min="1545" max="1546" width="10" style="533" customWidth="1"/>
    <col min="1547" max="1547" width="10.7109375" style="533" customWidth="1"/>
    <col min="1548" max="1548" width="10.140625" style="533" customWidth="1"/>
    <col min="1549" max="1556" width="9.140625" style="533" customWidth="1"/>
    <col min="1557" max="1557" width="9.28515625" style="533" customWidth="1"/>
    <col min="1558" max="1558" width="17.5703125" style="533" customWidth="1"/>
    <col min="1559" max="1559" width="37.85546875" style="533" customWidth="1"/>
    <col min="1560" max="1793" width="9.140625" style="533"/>
    <col min="1794" max="1794" width="10.42578125" style="533" customWidth="1"/>
    <col min="1795" max="1795" width="51.28515625" style="533" customWidth="1"/>
    <col min="1796" max="1796" width="9.140625" style="533"/>
    <col min="1797" max="1797" width="8.140625" style="533" customWidth="1"/>
    <col min="1798" max="1798" width="9.42578125" style="533" customWidth="1"/>
    <col min="1799" max="1800" width="9.7109375" style="533" customWidth="1"/>
    <col min="1801" max="1802" width="10" style="533" customWidth="1"/>
    <col min="1803" max="1803" width="10.7109375" style="533" customWidth="1"/>
    <col min="1804" max="1804" width="10.140625" style="533" customWidth="1"/>
    <col min="1805" max="1812" width="9.140625" style="533" customWidth="1"/>
    <col min="1813" max="1813" width="9.28515625" style="533" customWidth="1"/>
    <col min="1814" max="1814" width="17.5703125" style="533" customWidth="1"/>
    <col min="1815" max="1815" width="37.85546875" style="533" customWidth="1"/>
    <col min="1816" max="2049" width="9.140625" style="533"/>
    <col min="2050" max="2050" width="10.42578125" style="533" customWidth="1"/>
    <col min="2051" max="2051" width="51.28515625" style="533" customWidth="1"/>
    <col min="2052" max="2052" width="9.140625" style="533"/>
    <col min="2053" max="2053" width="8.140625" style="533" customWidth="1"/>
    <col min="2054" max="2054" width="9.42578125" style="533" customWidth="1"/>
    <col min="2055" max="2056" width="9.7109375" style="533" customWidth="1"/>
    <col min="2057" max="2058" width="10" style="533" customWidth="1"/>
    <col min="2059" max="2059" width="10.7109375" style="533" customWidth="1"/>
    <col min="2060" max="2060" width="10.140625" style="533" customWidth="1"/>
    <col min="2061" max="2068" width="9.140625" style="533" customWidth="1"/>
    <col min="2069" max="2069" width="9.28515625" style="533" customWidth="1"/>
    <col min="2070" max="2070" width="17.5703125" style="533" customWidth="1"/>
    <col min="2071" max="2071" width="37.85546875" style="533" customWidth="1"/>
    <col min="2072" max="2305" width="9.140625" style="533"/>
    <col min="2306" max="2306" width="10.42578125" style="533" customWidth="1"/>
    <col min="2307" max="2307" width="51.28515625" style="533" customWidth="1"/>
    <col min="2308" max="2308" width="9.140625" style="533"/>
    <col min="2309" max="2309" width="8.140625" style="533" customWidth="1"/>
    <col min="2310" max="2310" width="9.42578125" style="533" customWidth="1"/>
    <col min="2311" max="2312" width="9.7109375" style="533" customWidth="1"/>
    <col min="2313" max="2314" width="10" style="533" customWidth="1"/>
    <col min="2315" max="2315" width="10.7109375" style="533" customWidth="1"/>
    <col min="2316" max="2316" width="10.140625" style="533" customWidth="1"/>
    <col min="2317" max="2324" width="9.140625" style="533" customWidth="1"/>
    <col min="2325" max="2325" width="9.28515625" style="533" customWidth="1"/>
    <col min="2326" max="2326" width="17.5703125" style="533" customWidth="1"/>
    <col min="2327" max="2327" width="37.85546875" style="533" customWidth="1"/>
    <col min="2328" max="2561" width="9.140625" style="533"/>
    <col min="2562" max="2562" width="10.42578125" style="533" customWidth="1"/>
    <col min="2563" max="2563" width="51.28515625" style="533" customWidth="1"/>
    <col min="2564" max="2564" width="9.140625" style="533"/>
    <col min="2565" max="2565" width="8.140625" style="533" customWidth="1"/>
    <col min="2566" max="2566" width="9.42578125" style="533" customWidth="1"/>
    <col min="2567" max="2568" width="9.7109375" style="533" customWidth="1"/>
    <col min="2569" max="2570" width="10" style="533" customWidth="1"/>
    <col min="2571" max="2571" width="10.7109375" style="533" customWidth="1"/>
    <col min="2572" max="2572" width="10.140625" style="533" customWidth="1"/>
    <col min="2573" max="2580" width="9.140625" style="533" customWidth="1"/>
    <col min="2581" max="2581" width="9.28515625" style="533" customWidth="1"/>
    <col min="2582" max="2582" width="17.5703125" style="533" customWidth="1"/>
    <col min="2583" max="2583" width="37.85546875" style="533" customWidth="1"/>
    <col min="2584" max="2817" width="9.140625" style="533"/>
    <col min="2818" max="2818" width="10.42578125" style="533" customWidth="1"/>
    <col min="2819" max="2819" width="51.28515625" style="533" customWidth="1"/>
    <col min="2820" max="2820" width="9.140625" style="533"/>
    <col min="2821" max="2821" width="8.140625" style="533" customWidth="1"/>
    <col min="2822" max="2822" width="9.42578125" style="533" customWidth="1"/>
    <col min="2823" max="2824" width="9.7109375" style="533" customWidth="1"/>
    <col min="2825" max="2826" width="10" style="533" customWidth="1"/>
    <col min="2827" max="2827" width="10.7109375" style="533" customWidth="1"/>
    <col min="2828" max="2828" width="10.140625" style="533" customWidth="1"/>
    <col min="2829" max="2836" width="9.140625" style="533" customWidth="1"/>
    <col min="2837" max="2837" width="9.28515625" style="533" customWidth="1"/>
    <col min="2838" max="2838" width="17.5703125" style="533" customWidth="1"/>
    <col min="2839" max="2839" width="37.85546875" style="533" customWidth="1"/>
    <col min="2840" max="3073" width="9.140625" style="533"/>
    <col min="3074" max="3074" width="10.42578125" style="533" customWidth="1"/>
    <col min="3075" max="3075" width="51.28515625" style="533" customWidth="1"/>
    <col min="3076" max="3076" width="9.140625" style="533"/>
    <col min="3077" max="3077" width="8.140625" style="533" customWidth="1"/>
    <col min="3078" max="3078" width="9.42578125" style="533" customWidth="1"/>
    <col min="3079" max="3080" width="9.7109375" style="533" customWidth="1"/>
    <col min="3081" max="3082" width="10" style="533" customWidth="1"/>
    <col min="3083" max="3083" width="10.7109375" style="533" customWidth="1"/>
    <col min="3084" max="3084" width="10.140625" style="533" customWidth="1"/>
    <col min="3085" max="3092" width="9.140625" style="533" customWidth="1"/>
    <col min="3093" max="3093" width="9.28515625" style="533" customWidth="1"/>
    <col min="3094" max="3094" width="17.5703125" style="533" customWidth="1"/>
    <col min="3095" max="3095" width="37.85546875" style="533" customWidth="1"/>
    <col min="3096" max="3329" width="9.140625" style="533"/>
    <col min="3330" max="3330" width="10.42578125" style="533" customWidth="1"/>
    <col min="3331" max="3331" width="51.28515625" style="533" customWidth="1"/>
    <col min="3332" max="3332" width="9.140625" style="533"/>
    <col min="3333" max="3333" width="8.140625" style="533" customWidth="1"/>
    <col min="3334" max="3334" width="9.42578125" style="533" customWidth="1"/>
    <col min="3335" max="3336" width="9.7109375" style="533" customWidth="1"/>
    <col min="3337" max="3338" width="10" style="533" customWidth="1"/>
    <col min="3339" max="3339" width="10.7109375" style="533" customWidth="1"/>
    <col min="3340" max="3340" width="10.140625" style="533" customWidth="1"/>
    <col min="3341" max="3348" width="9.140625" style="533" customWidth="1"/>
    <col min="3349" max="3349" width="9.28515625" style="533" customWidth="1"/>
    <col min="3350" max="3350" width="17.5703125" style="533" customWidth="1"/>
    <col min="3351" max="3351" width="37.85546875" style="533" customWidth="1"/>
    <col min="3352" max="3585" width="9.140625" style="533"/>
    <col min="3586" max="3586" width="10.42578125" style="533" customWidth="1"/>
    <col min="3587" max="3587" width="51.28515625" style="533" customWidth="1"/>
    <col min="3588" max="3588" width="9.140625" style="533"/>
    <col min="3589" max="3589" width="8.140625" style="533" customWidth="1"/>
    <col min="3590" max="3590" width="9.42578125" style="533" customWidth="1"/>
    <col min="3591" max="3592" width="9.7109375" style="533" customWidth="1"/>
    <col min="3593" max="3594" width="10" style="533" customWidth="1"/>
    <col min="3595" max="3595" width="10.7109375" style="533" customWidth="1"/>
    <col min="3596" max="3596" width="10.140625" style="533" customWidth="1"/>
    <col min="3597" max="3604" width="9.140625" style="533" customWidth="1"/>
    <col min="3605" max="3605" width="9.28515625" style="533" customWidth="1"/>
    <col min="3606" max="3606" width="17.5703125" style="533" customWidth="1"/>
    <col min="3607" max="3607" width="37.85546875" style="533" customWidth="1"/>
    <col min="3608" max="3841" width="9.140625" style="533"/>
    <col min="3842" max="3842" width="10.42578125" style="533" customWidth="1"/>
    <col min="3843" max="3843" width="51.28515625" style="533" customWidth="1"/>
    <col min="3844" max="3844" width="9.140625" style="533"/>
    <col min="3845" max="3845" width="8.140625" style="533" customWidth="1"/>
    <col min="3846" max="3846" width="9.42578125" style="533" customWidth="1"/>
    <col min="3847" max="3848" width="9.7109375" style="533" customWidth="1"/>
    <col min="3849" max="3850" width="10" style="533" customWidth="1"/>
    <col min="3851" max="3851" width="10.7109375" style="533" customWidth="1"/>
    <col min="3852" max="3852" width="10.140625" style="533" customWidth="1"/>
    <col min="3853" max="3860" width="9.140625" style="533" customWidth="1"/>
    <col min="3861" max="3861" width="9.28515625" style="533" customWidth="1"/>
    <col min="3862" max="3862" width="17.5703125" style="533" customWidth="1"/>
    <col min="3863" max="3863" width="37.85546875" style="533" customWidth="1"/>
    <col min="3864" max="4097" width="9.140625" style="533"/>
    <col min="4098" max="4098" width="10.42578125" style="533" customWidth="1"/>
    <col min="4099" max="4099" width="51.28515625" style="533" customWidth="1"/>
    <col min="4100" max="4100" width="9.140625" style="533"/>
    <col min="4101" max="4101" width="8.140625" style="533" customWidth="1"/>
    <col min="4102" max="4102" width="9.42578125" style="533" customWidth="1"/>
    <col min="4103" max="4104" width="9.7109375" style="533" customWidth="1"/>
    <col min="4105" max="4106" width="10" style="533" customWidth="1"/>
    <col min="4107" max="4107" width="10.7109375" style="533" customWidth="1"/>
    <col min="4108" max="4108" width="10.140625" style="533" customWidth="1"/>
    <col min="4109" max="4116" width="9.140625" style="533" customWidth="1"/>
    <col min="4117" max="4117" width="9.28515625" style="533" customWidth="1"/>
    <col min="4118" max="4118" width="17.5703125" style="533" customWidth="1"/>
    <col min="4119" max="4119" width="37.85546875" style="533" customWidth="1"/>
    <col min="4120" max="4353" width="9.140625" style="533"/>
    <col min="4354" max="4354" width="10.42578125" style="533" customWidth="1"/>
    <col min="4355" max="4355" width="51.28515625" style="533" customWidth="1"/>
    <col min="4356" max="4356" width="9.140625" style="533"/>
    <col min="4357" max="4357" width="8.140625" style="533" customWidth="1"/>
    <col min="4358" max="4358" width="9.42578125" style="533" customWidth="1"/>
    <col min="4359" max="4360" width="9.7109375" style="533" customWidth="1"/>
    <col min="4361" max="4362" width="10" style="533" customWidth="1"/>
    <col min="4363" max="4363" width="10.7109375" style="533" customWidth="1"/>
    <col min="4364" max="4364" width="10.140625" style="533" customWidth="1"/>
    <col min="4365" max="4372" width="9.140625" style="533" customWidth="1"/>
    <col min="4373" max="4373" width="9.28515625" style="533" customWidth="1"/>
    <col min="4374" max="4374" width="17.5703125" style="533" customWidth="1"/>
    <col min="4375" max="4375" width="37.85546875" style="533" customWidth="1"/>
    <col min="4376" max="4609" width="9.140625" style="533"/>
    <col min="4610" max="4610" width="10.42578125" style="533" customWidth="1"/>
    <col min="4611" max="4611" width="51.28515625" style="533" customWidth="1"/>
    <col min="4612" max="4612" width="9.140625" style="533"/>
    <col min="4613" max="4613" width="8.140625" style="533" customWidth="1"/>
    <col min="4614" max="4614" width="9.42578125" style="533" customWidth="1"/>
    <col min="4615" max="4616" width="9.7109375" style="533" customWidth="1"/>
    <col min="4617" max="4618" width="10" style="533" customWidth="1"/>
    <col min="4619" max="4619" width="10.7109375" style="533" customWidth="1"/>
    <col min="4620" max="4620" width="10.140625" style="533" customWidth="1"/>
    <col min="4621" max="4628" width="9.140625" style="533" customWidth="1"/>
    <col min="4629" max="4629" width="9.28515625" style="533" customWidth="1"/>
    <col min="4630" max="4630" width="17.5703125" style="533" customWidth="1"/>
    <col min="4631" max="4631" width="37.85546875" style="533" customWidth="1"/>
    <col min="4632" max="4865" width="9.140625" style="533"/>
    <col min="4866" max="4866" width="10.42578125" style="533" customWidth="1"/>
    <col min="4867" max="4867" width="51.28515625" style="533" customWidth="1"/>
    <col min="4868" max="4868" width="9.140625" style="533"/>
    <col min="4869" max="4869" width="8.140625" style="533" customWidth="1"/>
    <col min="4870" max="4870" width="9.42578125" style="533" customWidth="1"/>
    <col min="4871" max="4872" width="9.7109375" style="533" customWidth="1"/>
    <col min="4873" max="4874" width="10" style="533" customWidth="1"/>
    <col min="4875" max="4875" width="10.7109375" style="533" customWidth="1"/>
    <col min="4876" max="4876" width="10.140625" style="533" customWidth="1"/>
    <col min="4877" max="4884" width="9.140625" style="533" customWidth="1"/>
    <col min="4885" max="4885" width="9.28515625" style="533" customWidth="1"/>
    <col min="4886" max="4886" width="17.5703125" style="533" customWidth="1"/>
    <col min="4887" max="4887" width="37.85546875" style="533" customWidth="1"/>
    <col min="4888" max="5121" width="9.140625" style="533"/>
    <col min="5122" max="5122" width="10.42578125" style="533" customWidth="1"/>
    <col min="5123" max="5123" width="51.28515625" style="533" customWidth="1"/>
    <col min="5124" max="5124" width="9.140625" style="533"/>
    <col min="5125" max="5125" width="8.140625" style="533" customWidth="1"/>
    <col min="5126" max="5126" width="9.42578125" style="533" customWidth="1"/>
    <col min="5127" max="5128" width="9.7109375" style="533" customWidth="1"/>
    <col min="5129" max="5130" width="10" style="533" customWidth="1"/>
    <col min="5131" max="5131" width="10.7109375" style="533" customWidth="1"/>
    <col min="5132" max="5132" width="10.140625" style="533" customWidth="1"/>
    <col min="5133" max="5140" width="9.140625" style="533" customWidth="1"/>
    <col min="5141" max="5141" width="9.28515625" style="533" customWidth="1"/>
    <col min="5142" max="5142" width="17.5703125" style="533" customWidth="1"/>
    <col min="5143" max="5143" width="37.85546875" style="533" customWidth="1"/>
    <col min="5144" max="5377" width="9.140625" style="533"/>
    <col min="5378" max="5378" width="10.42578125" style="533" customWidth="1"/>
    <col min="5379" max="5379" width="51.28515625" style="533" customWidth="1"/>
    <col min="5380" max="5380" width="9.140625" style="533"/>
    <col min="5381" max="5381" width="8.140625" style="533" customWidth="1"/>
    <col min="5382" max="5382" width="9.42578125" style="533" customWidth="1"/>
    <col min="5383" max="5384" width="9.7109375" style="533" customWidth="1"/>
    <col min="5385" max="5386" width="10" style="533" customWidth="1"/>
    <col min="5387" max="5387" width="10.7109375" style="533" customWidth="1"/>
    <col min="5388" max="5388" width="10.140625" style="533" customWidth="1"/>
    <col min="5389" max="5396" width="9.140625" style="533" customWidth="1"/>
    <col min="5397" max="5397" width="9.28515625" style="533" customWidth="1"/>
    <col min="5398" max="5398" width="17.5703125" style="533" customWidth="1"/>
    <col min="5399" max="5399" width="37.85546875" style="533" customWidth="1"/>
    <col min="5400" max="5633" width="9.140625" style="533"/>
    <col min="5634" max="5634" width="10.42578125" style="533" customWidth="1"/>
    <col min="5635" max="5635" width="51.28515625" style="533" customWidth="1"/>
    <col min="5636" max="5636" width="9.140625" style="533"/>
    <col min="5637" max="5637" width="8.140625" style="533" customWidth="1"/>
    <col min="5638" max="5638" width="9.42578125" style="533" customWidth="1"/>
    <col min="5639" max="5640" width="9.7109375" style="533" customWidth="1"/>
    <col min="5641" max="5642" width="10" style="533" customWidth="1"/>
    <col min="5643" max="5643" width="10.7109375" style="533" customWidth="1"/>
    <col min="5644" max="5644" width="10.140625" style="533" customWidth="1"/>
    <col min="5645" max="5652" width="9.140625" style="533" customWidth="1"/>
    <col min="5653" max="5653" width="9.28515625" style="533" customWidth="1"/>
    <col min="5654" max="5654" width="17.5703125" style="533" customWidth="1"/>
    <col min="5655" max="5655" width="37.85546875" style="533" customWidth="1"/>
    <col min="5656" max="5889" width="9.140625" style="533"/>
    <col min="5890" max="5890" width="10.42578125" style="533" customWidth="1"/>
    <col min="5891" max="5891" width="51.28515625" style="533" customWidth="1"/>
    <col min="5892" max="5892" width="9.140625" style="533"/>
    <col min="5893" max="5893" width="8.140625" style="533" customWidth="1"/>
    <col min="5894" max="5894" width="9.42578125" style="533" customWidth="1"/>
    <col min="5895" max="5896" width="9.7109375" style="533" customWidth="1"/>
    <col min="5897" max="5898" width="10" style="533" customWidth="1"/>
    <col min="5899" max="5899" width="10.7109375" style="533" customWidth="1"/>
    <col min="5900" max="5900" width="10.140625" style="533" customWidth="1"/>
    <col min="5901" max="5908" width="9.140625" style="533" customWidth="1"/>
    <col min="5909" max="5909" width="9.28515625" style="533" customWidth="1"/>
    <col min="5910" max="5910" width="17.5703125" style="533" customWidth="1"/>
    <col min="5911" max="5911" width="37.85546875" style="533" customWidth="1"/>
    <col min="5912" max="6145" width="9.140625" style="533"/>
    <col min="6146" max="6146" width="10.42578125" style="533" customWidth="1"/>
    <col min="6147" max="6147" width="51.28515625" style="533" customWidth="1"/>
    <col min="6148" max="6148" width="9.140625" style="533"/>
    <col min="6149" max="6149" width="8.140625" style="533" customWidth="1"/>
    <col min="6150" max="6150" width="9.42578125" style="533" customWidth="1"/>
    <col min="6151" max="6152" width="9.7109375" style="533" customWidth="1"/>
    <col min="6153" max="6154" width="10" style="533" customWidth="1"/>
    <col min="6155" max="6155" width="10.7109375" style="533" customWidth="1"/>
    <col min="6156" max="6156" width="10.140625" style="533" customWidth="1"/>
    <col min="6157" max="6164" width="9.140625" style="533" customWidth="1"/>
    <col min="6165" max="6165" width="9.28515625" style="533" customWidth="1"/>
    <col min="6166" max="6166" width="17.5703125" style="533" customWidth="1"/>
    <col min="6167" max="6167" width="37.85546875" style="533" customWidth="1"/>
    <col min="6168" max="6401" width="9.140625" style="533"/>
    <col min="6402" max="6402" width="10.42578125" style="533" customWidth="1"/>
    <col min="6403" max="6403" width="51.28515625" style="533" customWidth="1"/>
    <col min="6404" max="6404" width="9.140625" style="533"/>
    <col min="6405" max="6405" width="8.140625" style="533" customWidth="1"/>
    <col min="6406" max="6406" width="9.42578125" style="533" customWidth="1"/>
    <col min="6407" max="6408" width="9.7109375" style="533" customWidth="1"/>
    <col min="6409" max="6410" width="10" style="533" customWidth="1"/>
    <col min="6411" max="6411" width="10.7109375" style="533" customWidth="1"/>
    <col min="6412" max="6412" width="10.140625" style="533" customWidth="1"/>
    <col min="6413" max="6420" width="9.140625" style="533" customWidth="1"/>
    <col min="6421" max="6421" width="9.28515625" style="533" customWidth="1"/>
    <col min="6422" max="6422" width="17.5703125" style="533" customWidth="1"/>
    <col min="6423" max="6423" width="37.85546875" style="533" customWidth="1"/>
    <col min="6424" max="6657" width="9.140625" style="533"/>
    <col min="6658" max="6658" width="10.42578125" style="533" customWidth="1"/>
    <col min="6659" max="6659" width="51.28515625" style="533" customWidth="1"/>
    <col min="6660" max="6660" width="9.140625" style="533"/>
    <col min="6661" max="6661" width="8.140625" style="533" customWidth="1"/>
    <col min="6662" max="6662" width="9.42578125" style="533" customWidth="1"/>
    <col min="6663" max="6664" width="9.7109375" style="533" customWidth="1"/>
    <col min="6665" max="6666" width="10" style="533" customWidth="1"/>
    <col min="6667" max="6667" width="10.7109375" style="533" customWidth="1"/>
    <col min="6668" max="6668" width="10.140625" style="533" customWidth="1"/>
    <col min="6669" max="6676" width="9.140625" style="533" customWidth="1"/>
    <col min="6677" max="6677" width="9.28515625" style="533" customWidth="1"/>
    <col min="6678" max="6678" width="17.5703125" style="533" customWidth="1"/>
    <col min="6679" max="6679" width="37.85546875" style="533" customWidth="1"/>
    <col min="6680" max="6913" width="9.140625" style="533"/>
    <col min="6914" max="6914" width="10.42578125" style="533" customWidth="1"/>
    <col min="6915" max="6915" width="51.28515625" style="533" customWidth="1"/>
    <col min="6916" max="6916" width="9.140625" style="533"/>
    <col min="6917" max="6917" width="8.140625" style="533" customWidth="1"/>
    <col min="6918" max="6918" width="9.42578125" style="533" customWidth="1"/>
    <col min="6919" max="6920" width="9.7109375" style="533" customWidth="1"/>
    <col min="6921" max="6922" width="10" style="533" customWidth="1"/>
    <col min="6923" max="6923" width="10.7109375" style="533" customWidth="1"/>
    <col min="6924" max="6924" width="10.140625" style="533" customWidth="1"/>
    <col min="6925" max="6932" width="9.140625" style="533" customWidth="1"/>
    <col min="6933" max="6933" width="9.28515625" style="533" customWidth="1"/>
    <col min="6934" max="6934" width="17.5703125" style="533" customWidth="1"/>
    <col min="6935" max="6935" width="37.85546875" style="533" customWidth="1"/>
    <col min="6936" max="7169" width="9.140625" style="533"/>
    <col min="7170" max="7170" width="10.42578125" style="533" customWidth="1"/>
    <col min="7171" max="7171" width="51.28515625" style="533" customWidth="1"/>
    <col min="7172" max="7172" width="9.140625" style="533"/>
    <col min="7173" max="7173" width="8.140625" style="533" customWidth="1"/>
    <col min="7174" max="7174" width="9.42578125" style="533" customWidth="1"/>
    <col min="7175" max="7176" width="9.7109375" style="533" customWidth="1"/>
    <col min="7177" max="7178" width="10" style="533" customWidth="1"/>
    <col min="7179" max="7179" width="10.7109375" style="533" customWidth="1"/>
    <col min="7180" max="7180" width="10.140625" style="533" customWidth="1"/>
    <col min="7181" max="7188" width="9.140625" style="533" customWidth="1"/>
    <col min="7189" max="7189" width="9.28515625" style="533" customWidth="1"/>
    <col min="7190" max="7190" width="17.5703125" style="533" customWidth="1"/>
    <col min="7191" max="7191" width="37.85546875" style="533" customWidth="1"/>
    <col min="7192" max="7425" width="9.140625" style="533"/>
    <col min="7426" max="7426" width="10.42578125" style="533" customWidth="1"/>
    <col min="7427" max="7427" width="51.28515625" style="533" customWidth="1"/>
    <col min="7428" max="7428" width="9.140625" style="533"/>
    <col min="7429" max="7429" width="8.140625" style="533" customWidth="1"/>
    <col min="7430" max="7430" width="9.42578125" style="533" customWidth="1"/>
    <col min="7431" max="7432" width="9.7109375" style="533" customWidth="1"/>
    <col min="7433" max="7434" width="10" style="533" customWidth="1"/>
    <col min="7435" max="7435" width="10.7109375" style="533" customWidth="1"/>
    <col min="7436" max="7436" width="10.140625" style="533" customWidth="1"/>
    <col min="7437" max="7444" width="9.140625" style="533" customWidth="1"/>
    <col min="7445" max="7445" width="9.28515625" style="533" customWidth="1"/>
    <col min="7446" max="7446" width="17.5703125" style="533" customWidth="1"/>
    <col min="7447" max="7447" width="37.85546875" style="533" customWidth="1"/>
    <col min="7448" max="7681" width="9.140625" style="533"/>
    <col min="7682" max="7682" width="10.42578125" style="533" customWidth="1"/>
    <col min="7683" max="7683" width="51.28515625" style="533" customWidth="1"/>
    <col min="7684" max="7684" width="9.140625" style="533"/>
    <col min="7685" max="7685" width="8.140625" style="533" customWidth="1"/>
    <col min="7686" max="7686" width="9.42578125" style="533" customWidth="1"/>
    <col min="7687" max="7688" width="9.7109375" style="533" customWidth="1"/>
    <col min="7689" max="7690" width="10" style="533" customWidth="1"/>
    <col min="7691" max="7691" width="10.7109375" style="533" customWidth="1"/>
    <col min="7692" max="7692" width="10.140625" style="533" customWidth="1"/>
    <col min="7693" max="7700" width="9.140625" style="533" customWidth="1"/>
    <col min="7701" max="7701" width="9.28515625" style="533" customWidth="1"/>
    <col min="7702" max="7702" width="17.5703125" style="533" customWidth="1"/>
    <col min="7703" max="7703" width="37.85546875" style="533" customWidth="1"/>
    <col min="7704" max="7937" width="9.140625" style="533"/>
    <col min="7938" max="7938" width="10.42578125" style="533" customWidth="1"/>
    <col min="7939" max="7939" width="51.28515625" style="533" customWidth="1"/>
    <col min="7940" max="7940" width="9.140625" style="533"/>
    <col min="7941" max="7941" width="8.140625" style="533" customWidth="1"/>
    <col min="7942" max="7942" width="9.42578125" style="533" customWidth="1"/>
    <col min="7943" max="7944" width="9.7109375" style="533" customWidth="1"/>
    <col min="7945" max="7946" width="10" style="533" customWidth="1"/>
    <col min="7947" max="7947" width="10.7109375" style="533" customWidth="1"/>
    <col min="7948" max="7948" width="10.140625" style="533" customWidth="1"/>
    <col min="7949" max="7956" width="9.140625" style="533" customWidth="1"/>
    <col min="7957" max="7957" width="9.28515625" style="533" customWidth="1"/>
    <col min="7958" max="7958" width="17.5703125" style="533" customWidth="1"/>
    <col min="7959" max="7959" width="37.85546875" style="533" customWidth="1"/>
    <col min="7960" max="8193" width="9.140625" style="533"/>
    <col min="8194" max="8194" width="10.42578125" style="533" customWidth="1"/>
    <col min="8195" max="8195" width="51.28515625" style="533" customWidth="1"/>
    <col min="8196" max="8196" width="9.140625" style="533"/>
    <col min="8197" max="8197" width="8.140625" style="533" customWidth="1"/>
    <col min="8198" max="8198" width="9.42578125" style="533" customWidth="1"/>
    <col min="8199" max="8200" width="9.7109375" style="533" customWidth="1"/>
    <col min="8201" max="8202" width="10" style="533" customWidth="1"/>
    <col min="8203" max="8203" width="10.7109375" style="533" customWidth="1"/>
    <col min="8204" max="8204" width="10.140625" style="533" customWidth="1"/>
    <col min="8205" max="8212" width="9.140625" style="533" customWidth="1"/>
    <col min="8213" max="8213" width="9.28515625" style="533" customWidth="1"/>
    <col min="8214" max="8214" width="17.5703125" style="533" customWidth="1"/>
    <col min="8215" max="8215" width="37.85546875" style="533" customWidth="1"/>
    <col min="8216" max="8449" width="9.140625" style="533"/>
    <col min="8450" max="8450" width="10.42578125" style="533" customWidth="1"/>
    <col min="8451" max="8451" width="51.28515625" style="533" customWidth="1"/>
    <col min="8452" max="8452" width="9.140625" style="533"/>
    <col min="8453" max="8453" width="8.140625" style="533" customWidth="1"/>
    <col min="8454" max="8454" width="9.42578125" style="533" customWidth="1"/>
    <col min="8455" max="8456" width="9.7109375" style="533" customWidth="1"/>
    <col min="8457" max="8458" width="10" style="533" customWidth="1"/>
    <col min="8459" max="8459" width="10.7109375" style="533" customWidth="1"/>
    <col min="8460" max="8460" width="10.140625" style="533" customWidth="1"/>
    <col min="8461" max="8468" width="9.140625" style="533" customWidth="1"/>
    <col min="8469" max="8469" width="9.28515625" style="533" customWidth="1"/>
    <col min="8470" max="8470" width="17.5703125" style="533" customWidth="1"/>
    <col min="8471" max="8471" width="37.85546875" style="533" customWidth="1"/>
    <col min="8472" max="8705" width="9.140625" style="533"/>
    <col min="8706" max="8706" width="10.42578125" style="533" customWidth="1"/>
    <col min="8707" max="8707" width="51.28515625" style="533" customWidth="1"/>
    <col min="8708" max="8708" width="9.140625" style="533"/>
    <col min="8709" max="8709" width="8.140625" style="533" customWidth="1"/>
    <col min="8710" max="8710" width="9.42578125" style="533" customWidth="1"/>
    <col min="8711" max="8712" width="9.7109375" style="533" customWidth="1"/>
    <col min="8713" max="8714" width="10" style="533" customWidth="1"/>
    <col min="8715" max="8715" width="10.7109375" style="533" customWidth="1"/>
    <col min="8716" max="8716" width="10.140625" style="533" customWidth="1"/>
    <col min="8717" max="8724" width="9.140625" style="533" customWidth="1"/>
    <col min="8725" max="8725" width="9.28515625" style="533" customWidth="1"/>
    <col min="8726" max="8726" width="17.5703125" style="533" customWidth="1"/>
    <col min="8727" max="8727" width="37.85546875" style="533" customWidth="1"/>
    <col min="8728" max="8961" width="9.140625" style="533"/>
    <col min="8962" max="8962" width="10.42578125" style="533" customWidth="1"/>
    <col min="8963" max="8963" width="51.28515625" style="533" customWidth="1"/>
    <col min="8964" max="8964" width="9.140625" style="533"/>
    <col min="8965" max="8965" width="8.140625" style="533" customWidth="1"/>
    <col min="8966" max="8966" width="9.42578125" style="533" customWidth="1"/>
    <col min="8967" max="8968" width="9.7109375" style="533" customWidth="1"/>
    <col min="8969" max="8970" width="10" style="533" customWidth="1"/>
    <col min="8971" max="8971" width="10.7109375" style="533" customWidth="1"/>
    <col min="8972" max="8972" width="10.140625" style="533" customWidth="1"/>
    <col min="8973" max="8980" width="9.140625" style="533" customWidth="1"/>
    <col min="8981" max="8981" width="9.28515625" style="533" customWidth="1"/>
    <col min="8982" max="8982" width="17.5703125" style="533" customWidth="1"/>
    <col min="8983" max="8983" width="37.85546875" style="533" customWidth="1"/>
    <col min="8984" max="9217" width="9.140625" style="533"/>
    <col min="9218" max="9218" width="10.42578125" style="533" customWidth="1"/>
    <col min="9219" max="9219" width="51.28515625" style="533" customWidth="1"/>
    <col min="9220" max="9220" width="9.140625" style="533"/>
    <col min="9221" max="9221" width="8.140625" style="533" customWidth="1"/>
    <col min="9222" max="9222" width="9.42578125" style="533" customWidth="1"/>
    <col min="9223" max="9224" width="9.7109375" style="533" customWidth="1"/>
    <col min="9225" max="9226" width="10" style="533" customWidth="1"/>
    <col min="9227" max="9227" width="10.7109375" style="533" customWidth="1"/>
    <col min="9228" max="9228" width="10.140625" style="533" customWidth="1"/>
    <col min="9229" max="9236" width="9.140625" style="533" customWidth="1"/>
    <col min="9237" max="9237" width="9.28515625" style="533" customWidth="1"/>
    <col min="9238" max="9238" width="17.5703125" style="533" customWidth="1"/>
    <col min="9239" max="9239" width="37.85546875" style="533" customWidth="1"/>
    <col min="9240" max="9473" width="9.140625" style="533"/>
    <col min="9474" max="9474" width="10.42578125" style="533" customWidth="1"/>
    <col min="9475" max="9475" width="51.28515625" style="533" customWidth="1"/>
    <col min="9476" max="9476" width="9.140625" style="533"/>
    <col min="9477" max="9477" width="8.140625" style="533" customWidth="1"/>
    <col min="9478" max="9478" width="9.42578125" style="533" customWidth="1"/>
    <col min="9479" max="9480" width="9.7109375" style="533" customWidth="1"/>
    <col min="9481" max="9482" width="10" style="533" customWidth="1"/>
    <col min="9483" max="9483" width="10.7109375" style="533" customWidth="1"/>
    <col min="9484" max="9484" width="10.140625" style="533" customWidth="1"/>
    <col min="9485" max="9492" width="9.140625" style="533" customWidth="1"/>
    <col min="9493" max="9493" width="9.28515625" style="533" customWidth="1"/>
    <col min="9494" max="9494" width="17.5703125" style="533" customWidth="1"/>
    <col min="9495" max="9495" width="37.85546875" style="533" customWidth="1"/>
    <col min="9496" max="9729" width="9.140625" style="533"/>
    <col min="9730" max="9730" width="10.42578125" style="533" customWidth="1"/>
    <col min="9731" max="9731" width="51.28515625" style="533" customWidth="1"/>
    <col min="9732" max="9732" width="9.140625" style="533"/>
    <col min="9733" max="9733" width="8.140625" style="533" customWidth="1"/>
    <col min="9734" max="9734" width="9.42578125" style="533" customWidth="1"/>
    <col min="9735" max="9736" width="9.7109375" style="533" customWidth="1"/>
    <col min="9737" max="9738" width="10" style="533" customWidth="1"/>
    <col min="9739" max="9739" width="10.7109375" style="533" customWidth="1"/>
    <col min="9740" max="9740" width="10.140625" style="533" customWidth="1"/>
    <col min="9741" max="9748" width="9.140625" style="533" customWidth="1"/>
    <col min="9749" max="9749" width="9.28515625" style="533" customWidth="1"/>
    <col min="9750" max="9750" width="17.5703125" style="533" customWidth="1"/>
    <col min="9751" max="9751" width="37.85546875" style="533" customWidth="1"/>
    <col min="9752" max="9985" width="9.140625" style="533"/>
    <col min="9986" max="9986" width="10.42578125" style="533" customWidth="1"/>
    <col min="9987" max="9987" width="51.28515625" style="533" customWidth="1"/>
    <col min="9988" max="9988" width="9.140625" style="533"/>
    <col min="9989" max="9989" width="8.140625" style="533" customWidth="1"/>
    <col min="9990" max="9990" width="9.42578125" style="533" customWidth="1"/>
    <col min="9991" max="9992" width="9.7109375" style="533" customWidth="1"/>
    <col min="9993" max="9994" width="10" style="533" customWidth="1"/>
    <col min="9995" max="9995" width="10.7109375" style="533" customWidth="1"/>
    <col min="9996" max="9996" width="10.140625" style="533" customWidth="1"/>
    <col min="9997" max="10004" width="9.140625" style="533" customWidth="1"/>
    <col min="10005" max="10005" width="9.28515625" style="533" customWidth="1"/>
    <col min="10006" max="10006" width="17.5703125" style="533" customWidth="1"/>
    <col min="10007" max="10007" width="37.85546875" style="533" customWidth="1"/>
    <col min="10008" max="10241" width="9.140625" style="533"/>
    <col min="10242" max="10242" width="10.42578125" style="533" customWidth="1"/>
    <col min="10243" max="10243" width="51.28515625" style="533" customWidth="1"/>
    <col min="10244" max="10244" width="9.140625" style="533"/>
    <col min="10245" max="10245" width="8.140625" style="533" customWidth="1"/>
    <col min="10246" max="10246" width="9.42578125" style="533" customWidth="1"/>
    <col min="10247" max="10248" width="9.7109375" style="533" customWidth="1"/>
    <col min="10249" max="10250" width="10" style="533" customWidth="1"/>
    <col min="10251" max="10251" width="10.7109375" style="533" customWidth="1"/>
    <col min="10252" max="10252" width="10.140625" style="533" customWidth="1"/>
    <col min="10253" max="10260" width="9.140625" style="533" customWidth="1"/>
    <col min="10261" max="10261" width="9.28515625" style="533" customWidth="1"/>
    <col min="10262" max="10262" width="17.5703125" style="533" customWidth="1"/>
    <col min="10263" max="10263" width="37.85546875" style="533" customWidth="1"/>
    <col min="10264" max="10497" width="9.140625" style="533"/>
    <col min="10498" max="10498" width="10.42578125" style="533" customWidth="1"/>
    <col min="10499" max="10499" width="51.28515625" style="533" customWidth="1"/>
    <col min="10500" max="10500" width="9.140625" style="533"/>
    <col min="10501" max="10501" width="8.140625" style="533" customWidth="1"/>
    <col min="10502" max="10502" width="9.42578125" style="533" customWidth="1"/>
    <col min="10503" max="10504" width="9.7109375" style="533" customWidth="1"/>
    <col min="10505" max="10506" width="10" style="533" customWidth="1"/>
    <col min="10507" max="10507" width="10.7109375" style="533" customWidth="1"/>
    <col min="10508" max="10508" width="10.140625" style="533" customWidth="1"/>
    <col min="10509" max="10516" width="9.140625" style="533" customWidth="1"/>
    <col min="10517" max="10517" width="9.28515625" style="533" customWidth="1"/>
    <col min="10518" max="10518" width="17.5703125" style="533" customWidth="1"/>
    <col min="10519" max="10519" width="37.85546875" style="533" customWidth="1"/>
    <col min="10520" max="10753" width="9.140625" style="533"/>
    <col min="10754" max="10754" width="10.42578125" style="533" customWidth="1"/>
    <col min="10755" max="10755" width="51.28515625" style="533" customWidth="1"/>
    <col min="10756" max="10756" width="9.140625" style="533"/>
    <col min="10757" max="10757" width="8.140625" style="533" customWidth="1"/>
    <col min="10758" max="10758" width="9.42578125" style="533" customWidth="1"/>
    <col min="10759" max="10760" width="9.7109375" style="533" customWidth="1"/>
    <col min="10761" max="10762" width="10" style="533" customWidth="1"/>
    <col min="10763" max="10763" width="10.7109375" style="533" customWidth="1"/>
    <col min="10764" max="10764" width="10.140625" style="533" customWidth="1"/>
    <col min="10765" max="10772" width="9.140625" style="533" customWidth="1"/>
    <col min="10773" max="10773" width="9.28515625" style="533" customWidth="1"/>
    <col min="10774" max="10774" width="17.5703125" style="533" customWidth="1"/>
    <col min="10775" max="10775" width="37.85546875" style="533" customWidth="1"/>
    <col min="10776" max="11009" width="9.140625" style="533"/>
    <col min="11010" max="11010" width="10.42578125" style="533" customWidth="1"/>
    <col min="11011" max="11011" width="51.28515625" style="533" customWidth="1"/>
    <col min="11012" max="11012" width="9.140625" style="533"/>
    <col min="11013" max="11013" width="8.140625" style="533" customWidth="1"/>
    <col min="11014" max="11014" width="9.42578125" style="533" customWidth="1"/>
    <col min="11015" max="11016" width="9.7109375" style="533" customWidth="1"/>
    <col min="11017" max="11018" width="10" style="533" customWidth="1"/>
    <col min="11019" max="11019" width="10.7109375" style="533" customWidth="1"/>
    <col min="11020" max="11020" width="10.140625" style="533" customWidth="1"/>
    <col min="11021" max="11028" width="9.140625" style="533" customWidth="1"/>
    <col min="11029" max="11029" width="9.28515625" style="533" customWidth="1"/>
    <col min="11030" max="11030" width="17.5703125" style="533" customWidth="1"/>
    <col min="11031" max="11031" width="37.85546875" style="533" customWidth="1"/>
    <col min="11032" max="11265" width="9.140625" style="533"/>
    <col min="11266" max="11266" width="10.42578125" style="533" customWidth="1"/>
    <col min="11267" max="11267" width="51.28515625" style="533" customWidth="1"/>
    <col min="11268" max="11268" width="9.140625" style="533"/>
    <col min="11269" max="11269" width="8.140625" style="533" customWidth="1"/>
    <col min="11270" max="11270" width="9.42578125" style="533" customWidth="1"/>
    <col min="11271" max="11272" width="9.7109375" style="533" customWidth="1"/>
    <col min="11273" max="11274" width="10" style="533" customWidth="1"/>
    <col min="11275" max="11275" width="10.7109375" style="533" customWidth="1"/>
    <col min="11276" max="11276" width="10.140625" style="533" customWidth="1"/>
    <col min="11277" max="11284" width="9.140625" style="533" customWidth="1"/>
    <col min="11285" max="11285" width="9.28515625" style="533" customWidth="1"/>
    <col min="11286" max="11286" width="17.5703125" style="533" customWidth="1"/>
    <col min="11287" max="11287" width="37.85546875" style="533" customWidth="1"/>
    <col min="11288" max="11521" width="9.140625" style="533"/>
    <col min="11522" max="11522" width="10.42578125" style="533" customWidth="1"/>
    <col min="11523" max="11523" width="51.28515625" style="533" customWidth="1"/>
    <col min="11524" max="11524" width="9.140625" style="533"/>
    <col min="11525" max="11525" width="8.140625" style="533" customWidth="1"/>
    <col min="11526" max="11526" width="9.42578125" style="533" customWidth="1"/>
    <col min="11527" max="11528" width="9.7109375" style="533" customWidth="1"/>
    <col min="11529" max="11530" width="10" style="533" customWidth="1"/>
    <col min="11531" max="11531" width="10.7109375" style="533" customWidth="1"/>
    <col min="11532" max="11532" width="10.140625" style="533" customWidth="1"/>
    <col min="11533" max="11540" width="9.140625" style="533" customWidth="1"/>
    <col min="11541" max="11541" width="9.28515625" style="533" customWidth="1"/>
    <col min="11542" max="11542" width="17.5703125" style="533" customWidth="1"/>
    <col min="11543" max="11543" width="37.85546875" style="533" customWidth="1"/>
    <col min="11544" max="11777" width="9.140625" style="533"/>
    <col min="11778" max="11778" width="10.42578125" style="533" customWidth="1"/>
    <col min="11779" max="11779" width="51.28515625" style="533" customWidth="1"/>
    <col min="11780" max="11780" width="9.140625" style="533"/>
    <col min="11781" max="11781" width="8.140625" style="533" customWidth="1"/>
    <col min="11782" max="11782" width="9.42578125" style="533" customWidth="1"/>
    <col min="11783" max="11784" width="9.7109375" style="533" customWidth="1"/>
    <col min="11785" max="11786" width="10" style="533" customWidth="1"/>
    <col min="11787" max="11787" width="10.7109375" style="533" customWidth="1"/>
    <col min="11788" max="11788" width="10.140625" style="533" customWidth="1"/>
    <col min="11789" max="11796" width="9.140625" style="533" customWidth="1"/>
    <col min="11797" max="11797" width="9.28515625" style="533" customWidth="1"/>
    <col min="11798" max="11798" width="17.5703125" style="533" customWidth="1"/>
    <col min="11799" max="11799" width="37.85546875" style="533" customWidth="1"/>
    <col min="11800" max="12033" width="9.140625" style="533"/>
    <col min="12034" max="12034" width="10.42578125" style="533" customWidth="1"/>
    <col min="12035" max="12035" width="51.28515625" style="533" customWidth="1"/>
    <col min="12036" max="12036" width="9.140625" style="533"/>
    <col min="12037" max="12037" width="8.140625" style="533" customWidth="1"/>
    <col min="12038" max="12038" width="9.42578125" style="533" customWidth="1"/>
    <col min="12039" max="12040" width="9.7109375" style="533" customWidth="1"/>
    <col min="12041" max="12042" width="10" style="533" customWidth="1"/>
    <col min="12043" max="12043" width="10.7109375" style="533" customWidth="1"/>
    <col min="12044" max="12044" width="10.140625" style="533" customWidth="1"/>
    <col min="12045" max="12052" width="9.140625" style="533" customWidth="1"/>
    <col min="12053" max="12053" width="9.28515625" style="533" customWidth="1"/>
    <col min="12054" max="12054" width="17.5703125" style="533" customWidth="1"/>
    <col min="12055" max="12055" width="37.85546875" style="533" customWidth="1"/>
    <col min="12056" max="12289" width="9.140625" style="533"/>
    <col min="12290" max="12290" width="10.42578125" style="533" customWidth="1"/>
    <col min="12291" max="12291" width="51.28515625" style="533" customWidth="1"/>
    <col min="12292" max="12292" width="9.140625" style="533"/>
    <col min="12293" max="12293" width="8.140625" style="533" customWidth="1"/>
    <col min="12294" max="12294" width="9.42578125" style="533" customWidth="1"/>
    <col min="12295" max="12296" width="9.7109375" style="533" customWidth="1"/>
    <col min="12297" max="12298" width="10" style="533" customWidth="1"/>
    <col min="12299" max="12299" width="10.7109375" style="533" customWidth="1"/>
    <col min="12300" max="12300" width="10.140625" style="533" customWidth="1"/>
    <col min="12301" max="12308" width="9.140625" style="533" customWidth="1"/>
    <col min="12309" max="12309" width="9.28515625" style="533" customWidth="1"/>
    <col min="12310" max="12310" width="17.5703125" style="533" customWidth="1"/>
    <col min="12311" max="12311" width="37.85546875" style="533" customWidth="1"/>
    <col min="12312" max="12545" width="9.140625" style="533"/>
    <col min="12546" max="12546" width="10.42578125" style="533" customWidth="1"/>
    <col min="12547" max="12547" width="51.28515625" style="533" customWidth="1"/>
    <col min="12548" max="12548" width="9.140625" style="533"/>
    <col min="12549" max="12549" width="8.140625" style="533" customWidth="1"/>
    <col min="12550" max="12550" width="9.42578125" style="533" customWidth="1"/>
    <col min="12551" max="12552" width="9.7109375" style="533" customWidth="1"/>
    <col min="12553" max="12554" width="10" style="533" customWidth="1"/>
    <col min="12555" max="12555" width="10.7109375" style="533" customWidth="1"/>
    <col min="12556" max="12556" width="10.140625" style="533" customWidth="1"/>
    <col min="12557" max="12564" width="9.140625" style="533" customWidth="1"/>
    <col min="12565" max="12565" width="9.28515625" style="533" customWidth="1"/>
    <col min="12566" max="12566" width="17.5703125" style="533" customWidth="1"/>
    <col min="12567" max="12567" width="37.85546875" style="533" customWidth="1"/>
    <col min="12568" max="12801" width="9.140625" style="533"/>
    <col min="12802" max="12802" width="10.42578125" style="533" customWidth="1"/>
    <col min="12803" max="12803" width="51.28515625" style="533" customWidth="1"/>
    <col min="12804" max="12804" width="9.140625" style="533"/>
    <col min="12805" max="12805" width="8.140625" style="533" customWidth="1"/>
    <col min="12806" max="12806" width="9.42578125" style="533" customWidth="1"/>
    <col min="12807" max="12808" width="9.7109375" style="533" customWidth="1"/>
    <col min="12809" max="12810" width="10" style="533" customWidth="1"/>
    <col min="12811" max="12811" width="10.7109375" style="533" customWidth="1"/>
    <col min="12812" max="12812" width="10.140625" style="533" customWidth="1"/>
    <col min="12813" max="12820" width="9.140625" style="533" customWidth="1"/>
    <col min="12821" max="12821" width="9.28515625" style="533" customWidth="1"/>
    <col min="12822" max="12822" width="17.5703125" style="533" customWidth="1"/>
    <col min="12823" max="12823" width="37.85546875" style="533" customWidth="1"/>
    <col min="12824" max="13057" width="9.140625" style="533"/>
    <col min="13058" max="13058" width="10.42578125" style="533" customWidth="1"/>
    <col min="13059" max="13059" width="51.28515625" style="533" customWidth="1"/>
    <col min="13060" max="13060" width="9.140625" style="533"/>
    <col min="13061" max="13061" width="8.140625" style="533" customWidth="1"/>
    <col min="13062" max="13062" width="9.42578125" style="533" customWidth="1"/>
    <col min="13063" max="13064" width="9.7109375" style="533" customWidth="1"/>
    <col min="13065" max="13066" width="10" style="533" customWidth="1"/>
    <col min="13067" max="13067" width="10.7109375" style="533" customWidth="1"/>
    <col min="13068" max="13068" width="10.140625" style="533" customWidth="1"/>
    <col min="13069" max="13076" width="9.140625" style="533" customWidth="1"/>
    <col min="13077" max="13077" width="9.28515625" style="533" customWidth="1"/>
    <col min="13078" max="13078" width="17.5703125" style="533" customWidth="1"/>
    <col min="13079" max="13079" width="37.85546875" style="533" customWidth="1"/>
    <col min="13080" max="13313" width="9.140625" style="533"/>
    <col min="13314" max="13314" width="10.42578125" style="533" customWidth="1"/>
    <col min="13315" max="13315" width="51.28515625" style="533" customWidth="1"/>
    <col min="13316" max="13316" width="9.140625" style="533"/>
    <col min="13317" max="13317" width="8.140625" style="533" customWidth="1"/>
    <col min="13318" max="13318" width="9.42578125" style="533" customWidth="1"/>
    <col min="13319" max="13320" width="9.7109375" style="533" customWidth="1"/>
    <col min="13321" max="13322" width="10" style="533" customWidth="1"/>
    <col min="13323" max="13323" width="10.7109375" style="533" customWidth="1"/>
    <col min="13324" max="13324" width="10.140625" style="533" customWidth="1"/>
    <col min="13325" max="13332" width="9.140625" style="533" customWidth="1"/>
    <col min="13333" max="13333" width="9.28515625" style="533" customWidth="1"/>
    <col min="13334" max="13334" width="17.5703125" style="533" customWidth="1"/>
    <col min="13335" max="13335" width="37.85546875" style="533" customWidth="1"/>
    <col min="13336" max="13569" width="9.140625" style="533"/>
    <col min="13570" max="13570" width="10.42578125" style="533" customWidth="1"/>
    <col min="13571" max="13571" width="51.28515625" style="533" customWidth="1"/>
    <col min="13572" max="13572" width="9.140625" style="533"/>
    <col min="13573" max="13573" width="8.140625" style="533" customWidth="1"/>
    <col min="13574" max="13574" width="9.42578125" style="533" customWidth="1"/>
    <col min="13575" max="13576" width="9.7109375" style="533" customWidth="1"/>
    <col min="13577" max="13578" width="10" style="533" customWidth="1"/>
    <col min="13579" max="13579" width="10.7109375" style="533" customWidth="1"/>
    <col min="13580" max="13580" width="10.140625" style="533" customWidth="1"/>
    <col min="13581" max="13588" width="9.140625" style="533" customWidth="1"/>
    <col min="13589" max="13589" width="9.28515625" style="533" customWidth="1"/>
    <col min="13590" max="13590" width="17.5703125" style="533" customWidth="1"/>
    <col min="13591" max="13591" width="37.85546875" style="533" customWidth="1"/>
    <col min="13592" max="13825" width="9.140625" style="533"/>
    <col min="13826" max="13826" width="10.42578125" style="533" customWidth="1"/>
    <col min="13827" max="13827" width="51.28515625" style="533" customWidth="1"/>
    <col min="13828" max="13828" width="9.140625" style="533"/>
    <col min="13829" max="13829" width="8.140625" style="533" customWidth="1"/>
    <col min="13830" max="13830" width="9.42578125" style="533" customWidth="1"/>
    <col min="13831" max="13832" width="9.7109375" style="533" customWidth="1"/>
    <col min="13833" max="13834" width="10" style="533" customWidth="1"/>
    <col min="13835" max="13835" width="10.7109375" style="533" customWidth="1"/>
    <col min="13836" max="13836" width="10.140625" style="533" customWidth="1"/>
    <col min="13837" max="13844" width="9.140625" style="533" customWidth="1"/>
    <col min="13845" max="13845" width="9.28515625" style="533" customWidth="1"/>
    <col min="13846" max="13846" width="17.5703125" style="533" customWidth="1"/>
    <col min="13847" max="13847" width="37.85546875" style="533" customWidth="1"/>
    <col min="13848" max="14081" width="9.140625" style="533"/>
    <col min="14082" max="14082" width="10.42578125" style="533" customWidth="1"/>
    <col min="14083" max="14083" width="51.28515625" style="533" customWidth="1"/>
    <col min="14084" max="14084" width="9.140625" style="533"/>
    <col min="14085" max="14085" width="8.140625" style="533" customWidth="1"/>
    <col min="14086" max="14086" width="9.42578125" style="533" customWidth="1"/>
    <col min="14087" max="14088" width="9.7109375" style="533" customWidth="1"/>
    <col min="14089" max="14090" width="10" style="533" customWidth="1"/>
    <col min="14091" max="14091" width="10.7109375" style="533" customWidth="1"/>
    <col min="14092" max="14092" width="10.140625" style="533" customWidth="1"/>
    <col min="14093" max="14100" width="9.140625" style="533" customWidth="1"/>
    <col min="14101" max="14101" width="9.28515625" style="533" customWidth="1"/>
    <col min="14102" max="14102" width="17.5703125" style="533" customWidth="1"/>
    <col min="14103" max="14103" width="37.85546875" style="533" customWidth="1"/>
    <col min="14104" max="14337" width="9.140625" style="533"/>
    <col min="14338" max="14338" width="10.42578125" style="533" customWidth="1"/>
    <col min="14339" max="14339" width="51.28515625" style="533" customWidth="1"/>
    <col min="14340" max="14340" width="9.140625" style="533"/>
    <col min="14341" max="14341" width="8.140625" style="533" customWidth="1"/>
    <col min="14342" max="14342" width="9.42578125" style="533" customWidth="1"/>
    <col min="14343" max="14344" width="9.7109375" style="533" customWidth="1"/>
    <col min="14345" max="14346" width="10" style="533" customWidth="1"/>
    <col min="14347" max="14347" width="10.7109375" style="533" customWidth="1"/>
    <col min="14348" max="14348" width="10.140625" style="533" customWidth="1"/>
    <col min="14349" max="14356" width="9.140625" style="533" customWidth="1"/>
    <col min="14357" max="14357" width="9.28515625" style="533" customWidth="1"/>
    <col min="14358" max="14358" width="17.5703125" style="533" customWidth="1"/>
    <col min="14359" max="14359" width="37.85546875" style="533" customWidth="1"/>
    <col min="14360" max="14593" width="9.140625" style="533"/>
    <col min="14594" max="14594" width="10.42578125" style="533" customWidth="1"/>
    <col min="14595" max="14595" width="51.28515625" style="533" customWidth="1"/>
    <col min="14596" max="14596" width="9.140625" style="533"/>
    <col min="14597" max="14597" width="8.140625" style="533" customWidth="1"/>
    <col min="14598" max="14598" width="9.42578125" style="533" customWidth="1"/>
    <col min="14599" max="14600" width="9.7109375" style="533" customWidth="1"/>
    <col min="14601" max="14602" width="10" style="533" customWidth="1"/>
    <col min="14603" max="14603" width="10.7109375" style="533" customWidth="1"/>
    <col min="14604" max="14604" width="10.140625" style="533" customWidth="1"/>
    <col min="14605" max="14612" width="9.140625" style="533" customWidth="1"/>
    <col min="14613" max="14613" width="9.28515625" style="533" customWidth="1"/>
    <col min="14614" max="14614" width="17.5703125" style="533" customWidth="1"/>
    <col min="14615" max="14615" width="37.85546875" style="533" customWidth="1"/>
    <col min="14616" max="14849" width="9.140625" style="533"/>
    <col min="14850" max="14850" width="10.42578125" style="533" customWidth="1"/>
    <col min="14851" max="14851" width="51.28515625" style="533" customWidth="1"/>
    <col min="14852" max="14852" width="9.140625" style="533"/>
    <col min="14853" max="14853" width="8.140625" style="533" customWidth="1"/>
    <col min="14854" max="14854" width="9.42578125" style="533" customWidth="1"/>
    <col min="14855" max="14856" width="9.7109375" style="533" customWidth="1"/>
    <col min="14857" max="14858" width="10" style="533" customWidth="1"/>
    <col min="14859" max="14859" width="10.7109375" style="533" customWidth="1"/>
    <col min="14860" max="14860" width="10.140625" style="533" customWidth="1"/>
    <col min="14861" max="14868" width="9.140625" style="533" customWidth="1"/>
    <col min="14869" max="14869" width="9.28515625" style="533" customWidth="1"/>
    <col min="14870" max="14870" width="17.5703125" style="533" customWidth="1"/>
    <col min="14871" max="14871" width="37.85546875" style="533" customWidth="1"/>
    <col min="14872" max="15105" width="9.140625" style="533"/>
    <col min="15106" max="15106" width="10.42578125" style="533" customWidth="1"/>
    <col min="15107" max="15107" width="51.28515625" style="533" customWidth="1"/>
    <col min="15108" max="15108" width="9.140625" style="533"/>
    <col min="15109" max="15109" width="8.140625" style="533" customWidth="1"/>
    <col min="15110" max="15110" width="9.42578125" style="533" customWidth="1"/>
    <col min="15111" max="15112" width="9.7109375" style="533" customWidth="1"/>
    <col min="15113" max="15114" width="10" style="533" customWidth="1"/>
    <col min="15115" max="15115" width="10.7109375" style="533" customWidth="1"/>
    <col min="15116" max="15116" width="10.140625" style="533" customWidth="1"/>
    <col min="15117" max="15124" width="9.140625" style="533" customWidth="1"/>
    <col min="15125" max="15125" width="9.28515625" style="533" customWidth="1"/>
    <col min="15126" max="15126" width="17.5703125" style="533" customWidth="1"/>
    <col min="15127" max="15127" width="37.85546875" style="533" customWidth="1"/>
    <col min="15128" max="15361" width="9.140625" style="533"/>
    <col min="15362" max="15362" width="10.42578125" style="533" customWidth="1"/>
    <col min="15363" max="15363" width="51.28515625" style="533" customWidth="1"/>
    <col min="15364" max="15364" width="9.140625" style="533"/>
    <col min="15365" max="15365" width="8.140625" style="533" customWidth="1"/>
    <col min="15366" max="15366" width="9.42578125" style="533" customWidth="1"/>
    <col min="15367" max="15368" width="9.7109375" style="533" customWidth="1"/>
    <col min="15369" max="15370" width="10" style="533" customWidth="1"/>
    <col min="15371" max="15371" width="10.7109375" style="533" customWidth="1"/>
    <col min="15372" max="15372" width="10.140625" style="533" customWidth="1"/>
    <col min="15373" max="15380" width="9.140625" style="533" customWidth="1"/>
    <col min="15381" max="15381" width="9.28515625" style="533" customWidth="1"/>
    <col min="15382" max="15382" width="17.5703125" style="533" customWidth="1"/>
    <col min="15383" max="15383" width="37.85546875" style="533" customWidth="1"/>
    <col min="15384" max="15617" width="9.140625" style="533"/>
    <col min="15618" max="15618" width="10.42578125" style="533" customWidth="1"/>
    <col min="15619" max="15619" width="51.28515625" style="533" customWidth="1"/>
    <col min="15620" max="15620" width="9.140625" style="533"/>
    <col min="15621" max="15621" width="8.140625" style="533" customWidth="1"/>
    <col min="15622" max="15622" width="9.42578125" style="533" customWidth="1"/>
    <col min="15623" max="15624" width="9.7109375" style="533" customWidth="1"/>
    <col min="15625" max="15626" width="10" style="533" customWidth="1"/>
    <col min="15627" max="15627" width="10.7109375" style="533" customWidth="1"/>
    <col min="15628" max="15628" width="10.140625" style="533" customWidth="1"/>
    <col min="15629" max="15636" width="9.140625" style="533" customWidth="1"/>
    <col min="15637" max="15637" width="9.28515625" style="533" customWidth="1"/>
    <col min="15638" max="15638" width="17.5703125" style="533" customWidth="1"/>
    <col min="15639" max="15639" width="37.85546875" style="533" customWidth="1"/>
    <col min="15640" max="15873" width="9.140625" style="533"/>
    <col min="15874" max="15874" width="10.42578125" style="533" customWidth="1"/>
    <col min="15875" max="15875" width="51.28515625" style="533" customWidth="1"/>
    <col min="15876" max="15876" width="9.140625" style="533"/>
    <col min="15877" max="15877" width="8.140625" style="533" customWidth="1"/>
    <col min="15878" max="15878" width="9.42578125" style="533" customWidth="1"/>
    <col min="15879" max="15880" width="9.7109375" style="533" customWidth="1"/>
    <col min="15881" max="15882" width="10" style="533" customWidth="1"/>
    <col min="15883" max="15883" width="10.7109375" style="533" customWidth="1"/>
    <col min="15884" max="15884" width="10.140625" style="533" customWidth="1"/>
    <col min="15885" max="15892" width="9.140625" style="533" customWidth="1"/>
    <col min="15893" max="15893" width="9.28515625" style="533" customWidth="1"/>
    <col min="15894" max="15894" width="17.5703125" style="533" customWidth="1"/>
    <col min="15895" max="15895" width="37.85546875" style="533" customWidth="1"/>
    <col min="15896" max="16129" width="9.140625" style="533"/>
    <col min="16130" max="16130" width="10.42578125" style="533" customWidth="1"/>
    <col min="16131" max="16131" width="51.28515625" style="533" customWidth="1"/>
    <col min="16132" max="16132" width="9.140625" style="533"/>
    <col min="16133" max="16133" width="8.140625" style="533" customWidth="1"/>
    <col min="16134" max="16134" width="9.42578125" style="533" customWidth="1"/>
    <col min="16135" max="16136" width="9.7109375" style="533" customWidth="1"/>
    <col min="16137" max="16138" width="10" style="533" customWidth="1"/>
    <col min="16139" max="16139" width="10.7109375" style="533" customWidth="1"/>
    <col min="16140" max="16140" width="10.140625" style="533" customWidth="1"/>
    <col min="16141" max="16148" width="9.140625" style="533" customWidth="1"/>
    <col min="16149" max="16149" width="9.28515625" style="533" customWidth="1"/>
    <col min="16150" max="16150" width="17.5703125" style="533" customWidth="1"/>
    <col min="16151" max="16151" width="37.85546875" style="533" customWidth="1"/>
    <col min="16152" max="16384" width="9.140625" style="533"/>
  </cols>
  <sheetData>
    <row r="1" spans="1:23">
      <c r="A1" s="782" t="s">
        <v>183</v>
      </c>
      <c r="B1" s="782"/>
      <c r="C1" s="782"/>
      <c r="D1" s="782"/>
      <c r="E1" s="782"/>
      <c r="F1" s="782"/>
      <c r="G1" s="782"/>
      <c r="H1" s="782"/>
      <c r="I1" s="782"/>
      <c r="J1" s="782"/>
      <c r="K1" s="782"/>
      <c r="L1" s="782"/>
      <c r="M1" s="782"/>
      <c r="N1" s="782"/>
      <c r="O1" s="782"/>
      <c r="P1" s="782"/>
      <c r="Q1" s="782"/>
      <c r="R1" s="782"/>
      <c r="S1" s="782"/>
      <c r="T1" s="782"/>
      <c r="U1" s="782"/>
      <c r="V1" s="783"/>
    </row>
    <row r="2" spans="1:23" ht="44.25" customHeight="1">
      <c r="A2" s="784" t="s">
        <v>457</v>
      </c>
      <c r="B2" s="784"/>
      <c r="C2" s="784"/>
      <c r="D2" s="784"/>
      <c r="E2" s="784"/>
      <c r="F2" s="784"/>
      <c r="G2" s="784"/>
      <c r="H2" s="784"/>
      <c r="I2" s="784"/>
      <c r="J2" s="784"/>
      <c r="K2" s="784"/>
      <c r="L2" s="784"/>
      <c r="M2" s="784"/>
      <c r="N2" s="784"/>
      <c r="O2" s="784"/>
      <c r="P2" s="784"/>
      <c r="Q2" s="784"/>
      <c r="R2" s="784"/>
      <c r="S2" s="784"/>
      <c r="T2" s="784"/>
      <c r="U2" s="784"/>
      <c r="V2" s="784"/>
      <c r="W2" s="784"/>
    </row>
    <row r="3" spans="1:23" ht="15.75" customHeight="1">
      <c r="A3" s="785" t="s">
        <v>0</v>
      </c>
      <c r="B3" s="785"/>
      <c r="C3" s="785"/>
      <c r="D3" s="785"/>
      <c r="E3" s="785"/>
      <c r="F3" s="785"/>
      <c r="G3" s="785"/>
      <c r="H3" s="785"/>
      <c r="I3" s="785"/>
      <c r="J3" s="785"/>
      <c r="K3" s="785"/>
      <c r="L3" s="785"/>
      <c r="M3" s="785"/>
      <c r="N3" s="785"/>
      <c r="O3" s="785"/>
      <c r="P3" s="785"/>
      <c r="Q3" s="785"/>
      <c r="R3" s="785"/>
      <c r="S3" s="785"/>
      <c r="T3" s="785"/>
      <c r="U3" s="785"/>
      <c r="V3" s="785"/>
      <c r="W3" s="785"/>
    </row>
    <row r="4" spans="1:23" s="535" customFormat="1">
      <c r="A4" s="786" t="s">
        <v>1</v>
      </c>
      <c r="B4" s="788" t="s">
        <v>132</v>
      </c>
      <c r="C4" s="790" t="s">
        <v>3</v>
      </c>
      <c r="D4" s="534"/>
      <c r="E4" s="790" t="s">
        <v>456</v>
      </c>
      <c r="F4" s="790" t="s">
        <v>182</v>
      </c>
      <c r="G4" s="792" t="s">
        <v>133</v>
      </c>
      <c r="H4" s="784"/>
      <c r="I4" s="784"/>
      <c r="J4" s="784"/>
      <c r="K4" s="784"/>
      <c r="L4" s="784"/>
      <c r="M4" s="784"/>
      <c r="N4" s="784"/>
      <c r="O4" s="784"/>
      <c r="P4" s="784"/>
      <c r="Q4" s="784"/>
      <c r="R4" s="784"/>
      <c r="S4" s="784"/>
      <c r="T4" s="784"/>
      <c r="U4" s="793"/>
      <c r="V4" s="797" t="s">
        <v>455</v>
      </c>
      <c r="W4" s="800" t="s">
        <v>454</v>
      </c>
    </row>
    <row r="5" spans="1:23" s="535" customFormat="1">
      <c r="A5" s="786"/>
      <c r="B5" s="788"/>
      <c r="C5" s="790"/>
      <c r="D5" s="534"/>
      <c r="E5" s="790"/>
      <c r="F5" s="790"/>
      <c r="G5" s="792"/>
      <c r="H5" s="784"/>
      <c r="I5" s="784"/>
      <c r="J5" s="784"/>
      <c r="K5" s="784"/>
      <c r="L5" s="784"/>
      <c r="M5" s="784"/>
      <c r="N5" s="784"/>
      <c r="O5" s="784"/>
      <c r="P5" s="784"/>
      <c r="Q5" s="784"/>
      <c r="R5" s="784"/>
      <c r="S5" s="784"/>
      <c r="T5" s="784"/>
      <c r="U5" s="793"/>
      <c r="V5" s="798"/>
      <c r="W5" s="801"/>
    </row>
    <row r="6" spans="1:23" s="535" customFormat="1">
      <c r="A6" s="786"/>
      <c r="B6" s="788"/>
      <c r="C6" s="790"/>
      <c r="D6" s="534"/>
      <c r="E6" s="790"/>
      <c r="F6" s="790"/>
      <c r="G6" s="794"/>
      <c r="H6" s="795"/>
      <c r="I6" s="795"/>
      <c r="J6" s="795"/>
      <c r="K6" s="795"/>
      <c r="L6" s="795"/>
      <c r="M6" s="795"/>
      <c r="N6" s="795"/>
      <c r="O6" s="795"/>
      <c r="P6" s="795"/>
      <c r="Q6" s="795"/>
      <c r="R6" s="795"/>
      <c r="S6" s="795"/>
      <c r="T6" s="795"/>
      <c r="U6" s="796"/>
      <c r="V6" s="798"/>
      <c r="W6" s="801"/>
    </row>
    <row r="7" spans="1:23" s="535" customFormat="1" ht="42.75">
      <c r="A7" s="787"/>
      <c r="B7" s="789"/>
      <c r="C7" s="791"/>
      <c r="D7" s="536"/>
      <c r="E7" s="791"/>
      <c r="F7" s="791"/>
      <c r="G7" s="537" t="s">
        <v>453</v>
      </c>
      <c r="H7" s="538"/>
      <c r="I7" s="538"/>
      <c r="J7" s="802" t="s">
        <v>134</v>
      </c>
      <c r="K7" s="803"/>
      <c r="L7" s="803"/>
      <c r="M7" s="803"/>
      <c r="N7" s="803"/>
      <c r="O7" s="803"/>
      <c r="P7" s="803"/>
      <c r="Q7" s="803"/>
      <c r="R7" s="803"/>
      <c r="S7" s="803"/>
      <c r="T7" s="803"/>
      <c r="U7" s="804"/>
      <c r="V7" s="799"/>
      <c r="W7" s="801"/>
    </row>
    <row r="8" spans="1:23" s="544" customFormat="1" ht="30">
      <c r="A8" s="539">
        <v>-1</v>
      </c>
      <c r="B8" s="540">
        <v>-2</v>
      </c>
      <c r="C8" s="539">
        <v>-3</v>
      </c>
      <c r="D8" s="541">
        <v>-4</v>
      </c>
      <c r="E8" s="539" t="s">
        <v>452</v>
      </c>
      <c r="F8" s="539">
        <v>-6</v>
      </c>
      <c r="G8" s="539" t="s">
        <v>451</v>
      </c>
      <c r="H8" s="539">
        <v>-8</v>
      </c>
      <c r="I8" s="539"/>
      <c r="J8" s="539">
        <v>-9</v>
      </c>
      <c r="K8" s="539">
        <v>-10</v>
      </c>
      <c r="L8" s="539"/>
      <c r="M8" s="539">
        <v>-11</v>
      </c>
      <c r="N8" s="539">
        <v>-12</v>
      </c>
      <c r="O8" s="539"/>
      <c r="P8" s="539"/>
      <c r="Q8" s="539">
        <v>-14</v>
      </c>
      <c r="R8" s="539">
        <v>-15</v>
      </c>
      <c r="S8" s="539">
        <v>-16</v>
      </c>
      <c r="T8" s="539">
        <v>-18</v>
      </c>
      <c r="U8" s="539">
        <v>-19</v>
      </c>
      <c r="V8" s="542">
        <v>-20</v>
      </c>
      <c r="W8" s="543"/>
    </row>
    <row r="9" spans="1:23">
      <c r="A9" s="545"/>
      <c r="B9" s="546"/>
      <c r="C9" s="547"/>
      <c r="D9" s="548"/>
      <c r="E9" s="549"/>
      <c r="F9" s="549"/>
      <c r="G9" s="549"/>
      <c r="H9" s="550" t="s">
        <v>9</v>
      </c>
      <c r="I9" s="550" t="s">
        <v>11</v>
      </c>
      <c r="J9" s="551" t="s">
        <v>13</v>
      </c>
      <c r="K9" s="551" t="s">
        <v>15</v>
      </c>
      <c r="L9" s="551" t="s">
        <v>19</v>
      </c>
      <c r="M9" s="551" t="s">
        <v>21</v>
      </c>
      <c r="N9" s="551" t="s">
        <v>17</v>
      </c>
      <c r="O9" s="551" t="s">
        <v>23</v>
      </c>
      <c r="P9" s="551" t="s">
        <v>192</v>
      </c>
      <c r="Q9" s="551" t="s">
        <v>57</v>
      </c>
      <c r="R9" s="551" t="s">
        <v>55</v>
      </c>
      <c r="S9" s="551" t="s">
        <v>53</v>
      </c>
      <c r="T9" s="551" t="s">
        <v>74</v>
      </c>
      <c r="U9" s="551" t="s">
        <v>80</v>
      </c>
      <c r="V9" s="552"/>
      <c r="W9" s="543"/>
    </row>
    <row r="10" spans="1:23" ht="28.5">
      <c r="A10" s="553">
        <v>1</v>
      </c>
      <c r="B10" s="554" t="s">
        <v>450</v>
      </c>
      <c r="C10" s="555"/>
      <c r="D10" s="555"/>
      <c r="E10" s="556"/>
      <c r="F10" s="556"/>
      <c r="G10" s="556"/>
      <c r="H10" s="556"/>
      <c r="I10" s="556"/>
      <c r="J10" s="556"/>
      <c r="K10" s="556"/>
      <c r="L10" s="556"/>
      <c r="M10" s="556"/>
      <c r="N10" s="556"/>
      <c r="O10" s="556"/>
      <c r="P10" s="556"/>
      <c r="Q10" s="556"/>
      <c r="R10" s="556"/>
      <c r="S10" s="556"/>
      <c r="T10" s="556"/>
      <c r="U10" s="556"/>
      <c r="V10" s="557"/>
      <c r="W10" s="558"/>
    </row>
    <row r="11" spans="1:23" ht="28.5">
      <c r="A11" s="553" t="s">
        <v>139</v>
      </c>
      <c r="B11" s="554" t="s">
        <v>184</v>
      </c>
      <c r="C11" s="559"/>
      <c r="D11" s="559"/>
      <c r="E11" s="556"/>
      <c r="F11" s="556"/>
      <c r="G11" s="556"/>
      <c r="H11" s="556"/>
      <c r="I11" s="556"/>
      <c r="J11" s="556"/>
      <c r="K11" s="556"/>
      <c r="L11" s="556"/>
      <c r="M11" s="556"/>
      <c r="N11" s="556"/>
      <c r="O11" s="556"/>
      <c r="P11" s="556"/>
      <c r="Q11" s="556"/>
      <c r="R11" s="556"/>
      <c r="S11" s="556"/>
      <c r="T11" s="556"/>
      <c r="U11" s="556"/>
      <c r="V11" s="557"/>
      <c r="W11" s="558"/>
    </row>
    <row r="12" spans="1:23" ht="30">
      <c r="A12" s="560">
        <v>1</v>
      </c>
      <c r="B12" s="561" t="s">
        <v>521</v>
      </c>
      <c r="C12" s="555" t="s">
        <v>31</v>
      </c>
      <c r="D12" s="555" t="s">
        <v>31</v>
      </c>
      <c r="E12" s="562">
        <f t="shared" ref="E12" si="0">F12+G12</f>
        <v>2</v>
      </c>
      <c r="F12" s="563"/>
      <c r="G12" s="563">
        <f t="shared" ref="G12" si="1">H12+SUM(J12:U12)</f>
        <v>2</v>
      </c>
      <c r="H12" s="563"/>
      <c r="I12" s="563"/>
      <c r="J12" s="563">
        <v>2</v>
      </c>
      <c r="K12" s="563"/>
      <c r="L12" s="563"/>
      <c r="M12" s="563"/>
      <c r="N12" s="563"/>
      <c r="O12" s="563"/>
      <c r="P12" s="563"/>
      <c r="Q12" s="563"/>
      <c r="R12" s="563"/>
      <c r="S12" s="563"/>
      <c r="T12" s="563"/>
      <c r="U12" s="563"/>
      <c r="V12" s="564" t="s">
        <v>169</v>
      </c>
      <c r="W12" s="558"/>
    </row>
    <row r="13" spans="1:23" ht="60">
      <c r="A13" s="560">
        <v>2</v>
      </c>
      <c r="B13" s="707" t="s">
        <v>582</v>
      </c>
      <c r="C13" s="555" t="s">
        <v>31</v>
      </c>
      <c r="D13" s="555" t="s">
        <v>31</v>
      </c>
      <c r="E13" s="562">
        <f t="shared" ref="E13:E15" si="2">F13+G13</f>
        <v>0.08</v>
      </c>
      <c r="F13" s="563"/>
      <c r="G13" s="563">
        <f t="shared" ref="G13:G15" si="3">H13+SUM(J13:U13)</f>
        <v>0.08</v>
      </c>
      <c r="H13" s="563"/>
      <c r="I13" s="563"/>
      <c r="J13" s="563"/>
      <c r="K13" s="563"/>
      <c r="L13" s="563"/>
      <c r="M13" s="563"/>
      <c r="N13" s="563"/>
      <c r="O13" s="563"/>
      <c r="P13" s="563"/>
      <c r="Q13" s="563">
        <v>0.08</v>
      </c>
      <c r="R13" s="563"/>
      <c r="S13" s="563"/>
      <c r="T13" s="563"/>
      <c r="U13" s="563"/>
      <c r="V13" s="564" t="s">
        <v>172</v>
      </c>
      <c r="W13" s="616"/>
    </row>
    <row r="14" spans="1:23" ht="60">
      <c r="A14" s="560">
        <v>3</v>
      </c>
      <c r="B14" s="707" t="s">
        <v>583</v>
      </c>
      <c r="C14" s="555" t="s">
        <v>31</v>
      </c>
      <c r="D14" s="555" t="s">
        <v>31</v>
      </c>
      <c r="E14" s="562">
        <f t="shared" si="2"/>
        <v>0.1</v>
      </c>
      <c r="F14" s="563"/>
      <c r="G14" s="563">
        <f t="shared" si="3"/>
        <v>0.1</v>
      </c>
      <c r="H14" s="563"/>
      <c r="I14" s="563"/>
      <c r="J14" s="563"/>
      <c r="K14" s="563"/>
      <c r="L14" s="563"/>
      <c r="M14" s="563"/>
      <c r="N14" s="563"/>
      <c r="O14" s="563"/>
      <c r="P14" s="563"/>
      <c r="Q14" s="563">
        <v>0.1</v>
      </c>
      <c r="R14" s="563"/>
      <c r="S14" s="563"/>
      <c r="T14" s="563"/>
      <c r="U14" s="563"/>
      <c r="V14" s="564" t="s">
        <v>190</v>
      </c>
      <c r="W14" s="616"/>
    </row>
    <row r="15" spans="1:23" ht="60">
      <c r="A15" s="560">
        <v>4</v>
      </c>
      <c r="B15" s="707" t="s">
        <v>584</v>
      </c>
      <c r="C15" s="555" t="s">
        <v>31</v>
      </c>
      <c r="D15" s="555" t="s">
        <v>31</v>
      </c>
      <c r="E15" s="562">
        <f t="shared" si="2"/>
        <v>0.16</v>
      </c>
      <c r="F15" s="563"/>
      <c r="G15" s="563">
        <f t="shared" si="3"/>
        <v>0.16</v>
      </c>
      <c r="H15" s="563"/>
      <c r="I15" s="563"/>
      <c r="J15" s="563"/>
      <c r="K15" s="563"/>
      <c r="L15" s="563"/>
      <c r="M15" s="563"/>
      <c r="N15" s="563"/>
      <c r="O15" s="563"/>
      <c r="P15" s="563"/>
      <c r="Q15" s="563">
        <v>0.16</v>
      </c>
      <c r="R15" s="563"/>
      <c r="S15" s="563"/>
      <c r="T15" s="563"/>
      <c r="U15" s="563"/>
      <c r="V15" s="564" t="s">
        <v>174</v>
      </c>
      <c r="W15" s="616"/>
    </row>
    <row r="16" spans="1:23">
      <c r="A16" s="560">
        <v>5</v>
      </c>
      <c r="B16" s="561" t="s">
        <v>527</v>
      </c>
      <c r="C16" s="555" t="s">
        <v>33</v>
      </c>
      <c r="D16" s="555" t="s">
        <v>33</v>
      </c>
      <c r="E16" s="562">
        <f t="shared" ref="E16:E17" si="4">F16+G16</f>
        <v>0.06</v>
      </c>
      <c r="F16" s="563"/>
      <c r="G16" s="563">
        <f t="shared" ref="G16:G17" si="5">H16+SUM(J16:U16)</f>
        <v>0.06</v>
      </c>
      <c r="H16" s="563"/>
      <c r="I16" s="563"/>
      <c r="J16" s="563"/>
      <c r="K16" s="563"/>
      <c r="L16" s="563"/>
      <c r="M16" s="563"/>
      <c r="N16" s="563"/>
      <c r="O16" s="563"/>
      <c r="P16" s="563">
        <v>0.06</v>
      </c>
      <c r="Q16" s="563"/>
      <c r="R16" s="563"/>
      <c r="S16" s="563"/>
      <c r="T16" s="563"/>
      <c r="U16" s="563"/>
      <c r="V16" s="564" t="s">
        <v>190</v>
      </c>
      <c r="W16" s="558"/>
    </row>
    <row r="17" spans="1:23">
      <c r="A17" s="560">
        <v>6</v>
      </c>
      <c r="B17" s="561" t="s">
        <v>528</v>
      </c>
      <c r="C17" s="555" t="s">
        <v>33</v>
      </c>
      <c r="D17" s="555" t="s">
        <v>33</v>
      </c>
      <c r="E17" s="562">
        <f t="shared" si="4"/>
        <v>0.08</v>
      </c>
      <c r="F17" s="563"/>
      <c r="G17" s="563">
        <f t="shared" si="5"/>
        <v>0.08</v>
      </c>
      <c r="H17" s="563"/>
      <c r="I17" s="563"/>
      <c r="J17" s="563">
        <v>0.08</v>
      </c>
      <c r="K17" s="563"/>
      <c r="L17" s="563"/>
      <c r="M17" s="563"/>
      <c r="N17" s="563"/>
      <c r="O17" s="563"/>
      <c r="P17" s="563"/>
      <c r="Q17" s="563"/>
      <c r="R17" s="563"/>
      <c r="S17" s="563"/>
      <c r="T17" s="563"/>
      <c r="U17" s="563"/>
      <c r="V17" s="564" t="s">
        <v>173</v>
      </c>
      <c r="W17" s="558"/>
    </row>
    <row r="18" spans="1:23" ht="45">
      <c r="A18" s="560">
        <v>7</v>
      </c>
      <c r="B18" s="558" t="s">
        <v>558</v>
      </c>
      <c r="C18" s="555" t="s">
        <v>33</v>
      </c>
      <c r="D18" s="555" t="s">
        <v>33</v>
      </c>
      <c r="E18" s="566">
        <f>F18+G18</f>
        <v>2.2999999999999998</v>
      </c>
      <c r="F18" s="563"/>
      <c r="G18" s="563">
        <f>SUM(H18:U18)</f>
        <v>2.2999999999999998</v>
      </c>
      <c r="H18" s="563"/>
      <c r="I18" s="563"/>
      <c r="J18" s="567">
        <v>1</v>
      </c>
      <c r="K18" s="567">
        <v>1.3</v>
      </c>
      <c r="L18" s="567"/>
      <c r="M18" s="567"/>
      <c r="N18" s="567"/>
      <c r="O18" s="567"/>
      <c r="P18" s="567"/>
      <c r="Q18" s="567"/>
      <c r="R18" s="567"/>
      <c r="S18" s="567"/>
      <c r="T18" s="567"/>
      <c r="U18" s="567"/>
      <c r="V18" s="568" t="s">
        <v>168</v>
      </c>
      <c r="W18" s="569" t="s">
        <v>568</v>
      </c>
    </row>
    <row r="19" spans="1:23" ht="42.75">
      <c r="A19" s="553" t="s">
        <v>140</v>
      </c>
      <c r="B19" s="554" t="s">
        <v>312</v>
      </c>
      <c r="C19" s="555"/>
      <c r="D19" s="555"/>
      <c r="E19" s="562"/>
      <c r="F19" s="556"/>
      <c r="G19" s="563"/>
      <c r="H19" s="563"/>
      <c r="I19" s="563"/>
      <c r="J19" s="556" t="s">
        <v>202</v>
      </c>
      <c r="K19" s="556"/>
      <c r="L19" s="556"/>
      <c r="M19" s="556"/>
      <c r="N19" s="556"/>
      <c r="O19" s="556"/>
      <c r="P19" s="556"/>
      <c r="Q19" s="556"/>
      <c r="R19" s="556"/>
      <c r="S19" s="556"/>
      <c r="T19" s="556"/>
      <c r="U19" s="556"/>
      <c r="V19" s="557"/>
      <c r="W19" s="558"/>
    </row>
    <row r="20" spans="1:23" ht="60">
      <c r="A20" s="570" t="s">
        <v>185</v>
      </c>
      <c r="B20" s="571" t="s">
        <v>203</v>
      </c>
      <c r="C20" s="555"/>
      <c r="D20" s="555"/>
      <c r="E20" s="562"/>
      <c r="F20" s="556"/>
      <c r="G20" s="563"/>
      <c r="H20" s="563"/>
      <c r="I20" s="563"/>
      <c r="J20" s="556"/>
      <c r="K20" s="556"/>
      <c r="L20" s="556"/>
      <c r="M20" s="556"/>
      <c r="N20" s="556"/>
      <c r="O20" s="556"/>
      <c r="P20" s="556"/>
      <c r="Q20" s="556"/>
      <c r="R20" s="556"/>
      <c r="S20" s="556"/>
      <c r="T20" s="556"/>
      <c r="U20" s="556"/>
      <c r="V20" s="557"/>
      <c r="W20" s="558"/>
    </row>
    <row r="21" spans="1:23" ht="60">
      <c r="A21" s="570" t="s">
        <v>186</v>
      </c>
      <c r="B21" s="571" t="s">
        <v>187</v>
      </c>
      <c r="C21" s="555"/>
      <c r="D21" s="555"/>
      <c r="E21" s="562"/>
      <c r="F21" s="556"/>
      <c r="G21" s="563"/>
      <c r="H21" s="563"/>
      <c r="I21" s="563"/>
      <c r="J21" s="556"/>
      <c r="K21" s="556"/>
      <c r="L21" s="556"/>
      <c r="M21" s="556"/>
      <c r="N21" s="556"/>
      <c r="O21" s="556"/>
      <c r="P21" s="556"/>
      <c r="Q21" s="556"/>
      <c r="R21" s="556"/>
      <c r="S21" s="556"/>
      <c r="T21" s="556"/>
      <c r="U21" s="556"/>
      <c r="V21" s="557"/>
      <c r="W21" s="558"/>
    </row>
    <row r="22" spans="1:23" ht="74.25" customHeight="1">
      <c r="A22" s="572">
        <v>1</v>
      </c>
      <c r="B22" s="573" t="s">
        <v>520</v>
      </c>
      <c r="C22" s="574" t="s">
        <v>45</v>
      </c>
      <c r="D22" s="574" t="s">
        <v>193</v>
      </c>
      <c r="E22" s="562">
        <f>F22+G22</f>
        <v>33.96</v>
      </c>
      <c r="F22" s="575">
        <v>12.2</v>
      </c>
      <c r="G22" s="563">
        <f t="shared" ref="G22:G89" si="6">H22+SUM(J22:U22)</f>
        <v>21.76</v>
      </c>
      <c r="H22" s="575">
        <v>1.5</v>
      </c>
      <c r="I22" s="575"/>
      <c r="J22" s="576"/>
      <c r="K22" s="576"/>
      <c r="L22" s="576"/>
      <c r="M22" s="576"/>
      <c r="N22" s="576">
        <v>20.260000000000002</v>
      </c>
      <c r="O22" s="576"/>
      <c r="P22" s="576"/>
      <c r="Q22" s="576"/>
      <c r="R22" s="576"/>
      <c r="S22" s="576"/>
      <c r="T22" s="576"/>
      <c r="U22" s="576"/>
      <c r="V22" s="577" t="s">
        <v>174</v>
      </c>
      <c r="W22" s="578" t="s">
        <v>449</v>
      </c>
    </row>
    <row r="23" spans="1:23">
      <c r="A23" s="553">
        <v>2</v>
      </c>
      <c r="B23" s="554" t="s">
        <v>448</v>
      </c>
      <c r="C23" s="555"/>
      <c r="D23" s="579"/>
      <c r="E23" s="566"/>
      <c r="F23" s="556"/>
      <c r="G23" s="563"/>
      <c r="H23" s="563"/>
      <c r="I23" s="563"/>
      <c r="J23" s="556"/>
      <c r="K23" s="556"/>
      <c r="L23" s="556"/>
      <c r="M23" s="556"/>
      <c r="N23" s="556"/>
      <c r="O23" s="556"/>
      <c r="P23" s="556"/>
      <c r="Q23" s="556"/>
      <c r="R23" s="556"/>
      <c r="S23" s="556"/>
      <c r="T23" s="556"/>
      <c r="U23" s="556"/>
      <c r="V23" s="557"/>
      <c r="W23" s="558"/>
    </row>
    <row r="24" spans="1:23" ht="42.75">
      <c r="A24" s="553" t="s">
        <v>148</v>
      </c>
      <c r="B24" s="554" t="s">
        <v>188</v>
      </c>
      <c r="C24" s="555"/>
      <c r="D24" s="579"/>
      <c r="E24" s="566"/>
      <c r="F24" s="556"/>
      <c r="G24" s="563"/>
      <c r="H24" s="563"/>
      <c r="I24" s="563"/>
      <c r="J24" s="556"/>
      <c r="K24" s="556"/>
      <c r="L24" s="556"/>
      <c r="M24" s="556"/>
      <c r="N24" s="556"/>
      <c r="O24" s="556"/>
      <c r="P24" s="556"/>
      <c r="Q24" s="556"/>
      <c r="R24" s="556"/>
      <c r="S24" s="556"/>
      <c r="T24" s="556"/>
      <c r="U24" s="556"/>
      <c r="V24" s="557"/>
      <c r="W24" s="558"/>
    </row>
    <row r="25" spans="1:23" ht="45">
      <c r="A25" s="570" t="s">
        <v>310</v>
      </c>
      <c r="B25" s="571" t="s">
        <v>447</v>
      </c>
      <c r="C25" s="555"/>
      <c r="D25" s="579"/>
      <c r="E25" s="566"/>
      <c r="F25" s="556"/>
      <c r="G25" s="563"/>
      <c r="H25" s="563"/>
      <c r="I25" s="563"/>
      <c r="J25" s="556"/>
      <c r="K25" s="556"/>
      <c r="L25" s="556"/>
      <c r="M25" s="556"/>
      <c r="N25" s="556"/>
      <c r="O25" s="556"/>
      <c r="P25" s="556"/>
      <c r="Q25" s="556"/>
      <c r="R25" s="556"/>
      <c r="S25" s="556"/>
      <c r="T25" s="556"/>
      <c r="U25" s="556"/>
      <c r="V25" s="557"/>
      <c r="W25" s="558"/>
    </row>
    <row r="26" spans="1:23" ht="60" customHeight="1">
      <c r="A26" s="743">
        <v>1</v>
      </c>
      <c r="B26" s="770" t="s">
        <v>276</v>
      </c>
      <c r="C26" s="580" t="s">
        <v>45</v>
      </c>
      <c r="D26" s="580" t="s">
        <v>196</v>
      </c>
      <c r="E26" s="581">
        <f>F26+G26</f>
        <v>40.799999999999997</v>
      </c>
      <c r="F26" s="582">
        <f>3.8-2+3.2+2-5.2</f>
        <v>1.7999999999999998</v>
      </c>
      <c r="G26" s="563">
        <f t="shared" si="6"/>
        <v>39</v>
      </c>
      <c r="H26" s="582"/>
      <c r="I26" s="582"/>
      <c r="J26" s="583">
        <v>4</v>
      </c>
      <c r="K26" s="583">
        <v>2</v>
      </c>
      <c r="L26" s="583"/>
      <c r="M26" s="583">
        <v>17</v>
      </c>
      <c r="N26" s="583">
        <v>16</v>
      </c>
      <c r="O26" s="583"/>
      <c r="P26" s="583"/>
      <c r="Q26" s="583"/>
      <c r="R26" s="583"/>
      <c r="S26" s="583"/>
      <c r="T26" s="583"/>
      <c r="U26" s="583"/>
      <c r="V26" s="584" t="s">
        <v>174</v>
      </c>
      <c r="W26" s="749" t="s">
        <v>446</v>
      </c>
    </row>
    <row r="27" spans="1:23">
      <c r="A27" s="744"/>
      <c r="B27" s="771"/>
      <c r="C27" s="580" t="s">
        <v>45</v>
      </c>
      <c r="D27" s="580" t="s">
        <v>196</v>
      </c>
      <c r="E27" s="581">
        <f>F27+G27</f>
        <v>15.299999999999999</v>
      </c>
      <c r="F27" s="582">
        <f>9.2-6.34-1+3+3.34+1</f>
        <v>9.1999999999999993</v>
      </c>
      <c r="G27" s="563">
        <f t="shared" si="6"/>
        <v>6.1</v>
      </c>
      <c r="H27" s="582"/>
      <c r="I27" s="582"/>
      <c r="J27" s="583">
        <v>2.2000000000000002</v>
      </c>
      <c r="K27" s="583">
        <f>5.6-2.2</f>
        <v>3.3999999999999995</v>
      </c>
      <c r="L27" s="583"/>
      <c r="M27" s="583"/>
      <c r="N27" s="583"/>
      <c r="O27" s="583"/>
      <c r="P27" s="583"/>
      <c r="Q27" s="583"/>
      <c r="R27" s="583"/>
      <c r="S27" s="583">
        <v>0.5</v>
      </c>
      <c r="T27" s="583"/>
      <c r="U27" s="583"/>
      <c r="V27" s="584" t="s">
        <v>173</v>
      </c>
      <c r="W27" s="750"/>
    </row>
    <row r="28" spans="1:23" ht="86.25" customHeight="1">
      <c r="A28" s="745"/>
      <c r="B28" s="772"/>
      <c r="C28" s="585" t="s">
        <v>45</v>
      </c>
      <c r="D28" s="585" t="s">
        <v>196</v>
      </c>
      <c r="E28" s="586">
        <f>F28+G28</f>
        <v>10.900000000000002</v>
      </c>
      <c r="F28" s="587">
        <f>4+1.5+3.23+0.5-3.6-5.3</f>
        <v>0.33000000000000096</v>
      </c>
      <c r="G28" s="563">
        <f t="shared" si="6"/>
        <v>10.57</v>
      </c>
      <c r="H28" s="587">
        <v>0.8</v>
      </c>
      <c r="I28" s="587"/>
      <c r="J28" s="588">
        <v>2.2999999999999998</v>
      </c>
      <c r="K28" s="588">
        <f>4+1.2-3.23</f>
        <v>1.9700000000000002</v>
      </c>
      <c r="L28" s="588"/>
      <c r="M28" s="588">
        <v>2</v>
      </c>
      <c r="N28" s="588"/>
      <c r="O28" s="588"/>
      <c r="P28" s="588"/>
      <c r="Q28" s="588">
        <v>1.5</v>
      </c>
      <c r="R28" s="588">
        <v>2</v>
      </c>
      <c r="S28" s="588"/>
      <c r="T28" s="588"/>
      <c r="U28" s="588"/>
      <c r="V28" s="589" t="s">
        <v>168</v>
      </c>
      <c r="W28" s="751"/>
    </row>
    <row r="29" spans="1:23" ht="60">
      <c r="A29" s="565">
        <v>2</v>
      </c>
      <c r="B29" s="558" t="s">
        <v>445</v>
      </c>
      <c r="C29" s="555" t="s">
        <v>45</v>
      </c>
      <c r="D29" s="555" t="s">
        <v>196</v>
      </c>
      <c r="E29" s="566">
        <f>F29+G29</f>
        <v>6.69</v>
      </c>
      <c r="F29" s="590">
        <v>2.5</v>
      </c>
      <c r="G29" s="563">
        <f t="shared" si="6"/>
        <v>4.1900000000000004</v>
      </c>
      <c r="H29" s="563"/>
      <c r="I29" s="563"/>
      <c r="J29" s="563">
        <v>1.2</v>
      </c>
      <c r="K29" s="591">
        <v>1.5</v>
      </c>
      <c r="L29" s="591"/>
      <c r="M29" s="591"/>
      <c r="N29" s="591"/>
      <c r="O29" s="591"/>
      <c r="P29" s="591"/>
      <c r="Q29" s="591"/>
      <c r="R29" s="591">
        <v>1.49</v>
      </c>
      <c r="S29" s="591"/>
      <c r="T29" s="591"/>
      <c r="U29" s="591"/>
      <c r="V29" s="592" t="s">
        <v>168</v>
      </c>
      <c r="W29" s="558" t="s">
        <v>444</v>
      </c>
    </row>
    <row r="30" spans="1:23" s="600" customFormat="1" ht="45">
      <c r="A30" s="565">
        <v>3</v>
      </c>
      <c r="B30" s="593" t="s">
        <v>237</v>
      </c>
      <c r="C30" s="594" t="s">
        <v>55</v>
      </c>
      <c r="D30" s="594" t="s">
        <v>55</v>
      </c>
      <c r="E30" s="595">
        <f>F30+G30</f>
        <v>1.5</v>
      </c>
      <c r="F30" s="596"/>
      <c r="G30" s="563">
        <f t="shared" si="6"/>
        <v>1.5</v>
      </c>
      <c r="H30" s="597"/>
      <c r="I30" s="597"/>
      <c r="J30" s="597">
        <v>1.5</v>
      </c>
      <c r="K30" s="598"/>
      <c r="L30" s="598"/>
      <c r="M30" s="598"/>
      <c r="N30" s="598"/>
      <c r="O30" s="598"/>
      <c r="P30" s="598"/>
      <c r="Q30" s="598"/>
      <c r="R30" s="598"/>
      <c r="S30" s="598"/>
      <c r="T30" s="598"/>
      <c r="U30" s="598"/>
      <c r="V30" s="599" t="s">
        <v>168</v>
      </c>
      <c r="W30" s="593" t="s">
        <v>426</v>
      </c>
    </row>
    <row r="31" spans="1:23" ht="75">
      <c r="A31" s="565">
        <f>A30+1</f>
        <v>4</v>
      </c>
      <c r="B31" s="601" t="s">
        <v>210</v>
      </c>
      <c r="C31" s="555" t="s">
        <v>55</v>
      </c>
      <c r="D31" s="555" t="s">
        <v>55</v>
      </c>
      <c r="E31" s="566">
        <v>1.1599999999999999</v>
      </c>
      <c r="F31" s="590">
        <v>0.5</v>
      </c>
      <c r="G31" s="563">
        <f t="shared" si="6"/>
        <v>0.65999999999999992</v>
      </c>
      <c r="H31" s="563"/>
      <c r="I31" s="563"/>
      <c r="J31" s="563">
        <f>1.16-0.5-0.5</f>
        <v>0.15999999999999992</v>
      </c>
      <c r="K31" s="591">
        <v>0.5</v>
      </c>
      <c r="L31" s="591"/>
      <c r="M31" s="591"/>
      <c r="N31" s="591"/>
      <c r="O31" s="591"/>
      <c r="P31" s="591"/>
      <c r="Q31" s="591"/>
      <c r="R31" s="591"/>
      <c r="S31" s="591"/>
      <c r="T31" s="591"/>
      <c r="U31" s="591"/>
      <c r="V31" s="602" t="s">
        <v>168</v>
      </c>
      <c r="W31" s="773" t="s">
        <v>443</v>
      </c>
    </row>
    <row r="32" spans="1:23" ht="75">
      <c r="A32" s="565">
        <f>A31+1</f>
        <v>5</v>
      </c>
      <c r="B32" s="601" t="s">
        <v>211</v>
      </c>
      <c r="C32" s="555" t="s">
        <v>55</v>
      </c>
      <c r="D32" s="555" t="s">
        <v>55</v>
      </c>
      <c r="E32" s="566">
        <v>1.1000000000000001</v>
      </c>
      <c r="F32" s="590">
        <v>0.5</v>
      </c>
      <c r="G32" s="563">
        <f t="shared" si="6"/>
        <v>0.6</v>
      </c>
      <c r="H32" s="563"/>
      <c r="I32" s="563"/>
      <c r="J32" s="563">
        <v>0.3</v>
      </c>
      <c r="K32" s="591">
        <v>0.3</v>
      </c>
      <c r="L32" s="591"/>
      <c r="M32" s="591"/>
      <c r="N32" s="591"/>
      <c r="O32" s="591"/>
      <c r="P32" s="591"/>
      <c r="Q32" s="591"/>
      <c r="R32" s="591"/>
      <c r="S32" s="591"/>
      <c r="T32" s="591"/>
      <c r="U32" s="591"/>
      <c r="V32" s="602" t="s">
        <v>168</v>
      </c>
      <c r="W32" s="773"/>
    </row>
    <row r="33" spans="1:23" s="600" customFormat="1" ht="105">
      <c r="A33" s="565">
        <f>A32+1</f>
        <v>6</v>
      </c>
      <c r="B33" s="593" t="s">
        <v>442</v>
      </c>
      <c r="C33" s="594" t="s">
        <v>55</v>
      </c>
      <c r="D33" s="594" t="s">
        <v>55</v>
      </c>
      <c r="E33" s="595">
        <v>1.3</v>
      </c>
      <c r="F33" s="596"/>
      <c r="G33" s="563">
        <f t="shared" si="6"/>
        <v>1.3</v>
      </c>
      <c r="H33" s="597"/>
      <c r="I33" s="597"/>
      <c r="J33" s="597">
        <v>0.4</v>
      </c>
      <c r="K33" s="598"/>
      <c r="L33" s="598"/>
      <c r="M33" s="598"/>
      <c r="N33" s="598"/>
      <c r="O33" s="598"/>
      <c r="P33" s="598"/>
      <c r="Q33" s="598">
        <v>0.9</v>
      </c>
      <c r="R33" s="598"/>
      <c r="S33" s="598"/>
      <c r="T33" s="598"/>
      <c r="U33" s="598"/>
      <c r="V33" s="603" t="s">
        <v>168</v>
      </c>
      <c r="W33" s="604" t="s">
        <v>441</v>
      </c>
    </row>
    <row r="34" spans="1:23" s="600" customFormat="1" ht="37.5" customHeight="1">
      <c r="A34" s="755">
        <f>A33+1</f>
        <v>7</v>
      </c>
      <c r="B34" s="775" t="s">
        <v>217</v>
      </c>
      <c r="C34" s="574" t="s">
        <v>45</v>
      </c>
      <c r="D34" s="574" t="s">
        <v>196</v>
      </c>
      <c r="E34" s="562">
        <f t="shared" ref="E34:E48" si="7">F34+G34</f>
        <v>2.5</v>
      </c>
      <c r="F34" s="605">
        <v>2.5</v>
      </c>
      <c r="G34" s="563">
        <f t="shared" si="6"/>
        <v>0</v>
      </c>
      <c r="H34" s="575"/>
      <c r="I34" s="575"/>
      <c r="J34" s="575"/>
      <c r="K34" s="606"/>
      <c r="L34" s="606"/>
      <c r="M34" s="606"/>
      <c r="N34" s="606"/>
      <c r="O34" s="606"/>
      <c r="P34" s="606"/>
      <c r="Q34" s="606"/>
      <c r="R34" s="606"/>
      <c r="S34" s="606"/>
      <c r="T34" s="606"/>
      <c r="U34" s="606"/>
      <c r="V34" s="607" t="s">
        <v>168</v>
      </c>
      <c r="W34" s="777" t="s">
        <v>440</v>
      </c>
    </row>
    <row r="35" spans="1:23" s="600" customFormat="1" ht="37.5" customHeight="1">
      <c r="A35" s="755"/>
      <c r="B35" s="776"/>
      <c r="C35" s="585" t="s">
        <v>55</v>
      </c>
      <c r="D35" s="585" t="s">
        <v>55</v>
      </c>
      <c r="E35" s="586">
        <f t="shared" si="7"/>
        <v>15.4</v>
      </c>
      <c r="F35" s="608">
        <v>15.4</v>
      </c>
      <c r="G35" s="563">
        <f t="shared" si="6"/>
        <v>0</v>
      </c>
      <c r="H35" s="587"/>
      <c r="I35" s="587"/>
      <c r="J35" s="587"/>
      <c r="K35" s="609"/>
      <c r="L35" s="609"/>
      <c r="M35" s="609"/>
      <c r="N35" s="609"/>
      <c r="O35" s="609"/>
      <c r="P35" s="609"/>
      <c r="Q35" s="609"/>
      <c r="R35" s="609"/>
      <c r="S35" s="609"/>
      <c r="T35" s="609"/>
      <c r="U35" s="609"/>
      <c r="V35" s="610" t="s">
        <v>168</v>
      </c>
      <c r="W35" s="777"/>
    </row>
    <row r="36" spans="1:23" ht="45">
      <c r="A36" s="565">
        <f>A34+1</f>
        <v>8</v>
      </c>
      <c r="B36" s="601" t="s">
        <v>439</v>
      </c>
      <c r="C36" s="555" t="s">
        <v>45</v>
      </c>
      <c r="D36" s="555" t="s">
        <v>196</v>
      </c>
      <c r="E36" s="566">
        <f t="shared" si="7"/>
        <v>0.17</v>
      </c>
      <c r="F36" s="590">
        <v>0.17</v>
      </c>
      <c r="G36" s="563">
        <f t="shared" si="6"/>
        <v>0</v>
      </c>
      <c r="H36" s="563"/>
      <c r="I36" s="563"/>
      <c r="J36" s="563"/>
      <c r="K36" s="591"/>
      <c r="L36" s="591"/>
      <c r="M36" s="591"/>
      <c r="N36" s="591"/>
      <c r="O36" s="591"/>
      <c r="P36" s="591"/>
      <c r="Q36" s="591"/>
      <c r="R36" s="591"/>
      <c r="S36" s="591"/>
      <c r="T36" s="591"/>
      <c r="U36" s="591"/>
      <c r="V36" s="592" t="s">
        <v>168</v>
      </c>
      <c r="W36" s="769" t="s">
        <v>438</v>
      </c>
    </row>
    <row r="37" spans="1:23" ht="30">
      <c r="A37" s="565">
        <f>A36+1</f>
        <v>9</v>
      </c>
      <c r="B37" s="601" t="s">
        <v>437</v>
      </c>
      <c r="C37" s="555" t="s">
        <v>45</v>
      </c>
      <c r="D37" s="555" t="s">
        <v>195</v>
      </c>
      <c r="E37" s="566">
        <f t="shared" si="7"/>
        <v>0.02</v>
      </c>
      <c r="F37" s="590"/>
      <c r="G37" s="563">
        <f t="shared" si="6"/>
        <v>0.02</v>
      </c>
      <c r="H37" s="563"/>
      <c r="I37" s="563"/>
      <c r="J37" s="563">
        <v>0.02</v>
      </c>
      <c r="K37" s="591"/>
      <c r="L37" s="591"/>
      <c r="M37" s="591"/>
      <c r="N37" s="591"/>
      <c r="O37" s="591"/>
      <c r="P37" s="591"/>
      <c r="Q37" s="591"/>
      <c r="R37" s="591"/>
      <c r="S37" s="591"/>
      <c r="T37" s="591"/>
      <c r="U37" s="591"/>
      <c r="V37" s="592" t="s">
        <v>168</v>
      </c>
      <c r="W37" s="769"/>
    </row>
    <row r="38" spans="1:23" ht="60">
      <c r="A38" s="565">
        <f>A37+1</f>
        <v>10</v>
      </c>
      <c r="B38" s="611" t="s">
        <v>436</v>
      </c>
      <c r="C38" s="555" t="s">
        <v>45</v>
      </c>
      <c r="D38" s="555" t="s">
        <v>196</v>
      </c>
      <c r="E38" s="566">
        <f t="shared" si="7"/>
        <v>0.2</v>
      </c>
      <c r="F38" s="590"/>
      <c r="G38" s="563">
        <f t="shared" si="6"/>
        <v>0.2</v>
      </c>
      <c r="H38" s="563"/>
      <c r="I38" s="563"/>
      <c r="J38" s="563"/>
      <c r="K38" s="591">
        <v>0.2</v>
      </c>
      <c r="L38" s="591"/>
      <c r="M38" s="591"/>
      <c r="N38" s="591"/>
      <c r="O38" s="591"/>
      <c r="P38" s="591"/>
      <c r="Q38" s="591"/>
      <c r="R38" s="591"/>
      <c r="S38" s="591"/>
      <c r="T38" s="591"/>
      <c r="U38" s="591"/>
      <c r="V38" s="568" t="s">
        <v>168</v>
      </c>
      <c r="W38" s="612" t="s">
        <v>435</v>
      </c>
    </row>
    <row r="39" spans="1:23" ht="45">
      <c r="A39" s="565">
        <f>A38+1</f>
        <v>11</v>
      </c>
      <c r="B39" s="611" t="s">
        <v>434</v>
      </c>
      <c r="C39" s="555" t="s">
        <v>45</v>
      </c>
      <c r="D39" s="555" t="s">
        <v>194</v>
      </c>
      <c r="E39" s="566">
        <f t="shared" si="7"/>
        <v>2.5</v>
      </c>
      <c r="F39" s="590"/>
      <c r="G39" s="563">
        <f t="shared" si="6"/>
        <v>2.5</v>
      </c>
      <c r="H39" s="563"/>
      <c r="I39" s="563"/>
      <c r="J39" s="563"/>
      <c r="K39" s="591">
        <v>2.5</v>
      </c>
      <c r="L39" s="591"/>
      <c r="M39" s="591"/>
      <c r="N39" s="591"/>
      <c r="O39" s="591"/>
      <c r="P39" s="591"/>
      <c r="Q39" s="591"/>
      <c r="R39" s="591"/>
      <c r="S39" s="591"/>
      <c r="T39" s="591"/>
      <c r="U39" s="591"/>
      <c r="V39" s="568" t="s">
        <v>168</v>
      </c>
      <c r="W39" s="612" t="s">
        <v>433</v>
      </c>
    </row>
    <row r="40" spans="1:23" ht="105">
      <c r="A40" s="565">
        <f>A39+1</f>
        <v>12</v>
      </c>
      <c r="B40" s="558" t="s">
        <v>205</v>
      </c>
      <c r="C40" s="555" t="s">
        <v>45</v>
      </c>
      <c r="D40" s="555" t="s">
        <v>196</v>
      </c>
      <c r="E40" s="566">
        <f t="shared" si="7"/>
        <v>8</v>
      </c>
      <c r="F40" s="590">
        <v>2.5</v>
      </c>
      <c r="G40" s="563">
        <f t="shared" si="6"/>
        <v>5.5</v>
      </c>
      <c r="H40" s="563"/>
      <c r="I40" s="563"/>
      <c r="J40" s="563">
        <v>4</v>
      </c>
      <c r="K40" s="591">
        <v>1.5</v>
      </c>
      <c r="L40" s="591"/>
      <c r="M40" s="591"/>
      <c r="N40" s="591"/>
      <c r="O40" s="591"/>
      <c r="P40" s="591"/>
      <c r="Q40" s="591"/>
      <c r="R40" s="591"/>
      <c r="S40" s="591"/>
      <c r="T40" s="591"/>
      <c r="U40" s="591"/>
      <c r="V40" s="613" t="s">
        <v>190</v>
      </c>
      <c r="W40" s="558" t="s">
        <v>432</v>
      </c>
    </row>
    <row r="41" spans="1:23" ht="45">
      <c r="A41" s="565">
        <f>A40+1</f>
        <v>13</v>
      </c>
      <c r="B41" s="611" t="s">
        <v>431</v>
      </c>
      <c r="C41" s="555" t="s">
        <v>45</v>
      </c>
      <c r="D41" s="555" t="s">
        <v>192</v>
      </c>
      <c r="E41" s="566">
        <f t="shared" si="7"/>
        <v>1</v>
      </c>
      <c r="F41" s="590">
        <v>1</v>
      </c>
      <c r="G41" s="563">
        <f t="shared" si="6"/>
        <v>0</v>
      </c>
      <c r="H41" s="563"/>
      <c r="I41" s="563"/>
      <c r="J41" s="563"/>
      <c r="K41" s="591"/>
      <c r="L41" s="591"/>
      <c r="M41" s="591"/>
      <c r="N41" s="591"/>
      <c r="O41" s="591"/>
      <c r="P41" s="591"/>
      <c r="Q41" s="591"/>
      <c r="R41" s="591"/>
      <c r="S41" s="591"/>
      <c r="T41" s="591"/>
      <c r="U41" s="591"/>
      <c r="V41" s="592" t="s">
        <v>172</v>
      </c>
      <c r="W41" s="612" t="s">
        <v>430</v>
      </c>
    </row>
    <row r="42" spans="1:23" ht="45">
      <c r="A42" s="565">
        <v>14</v>
      </c>
      <c r="B42" s="611" t="s">
        <v>543</v>
      </c>
      <c r="C42" s="555" t="s">
        <v>45</v>
      </c>
      <c r="D42" s="555" t="s">
        <v>47</v>
      </c>
      <c r="E42" s="566">
        <f t="shared" si="7"/>
        <v>1.5</v>
      </c>
      <c r="F42" s="590">
        <v>1.5</v>
      </c>
      <c r="G42" s="563">
        <f t="shared" si="6"/>
        <v>0</v>
      </c>
      <c r="H42" s="563"/>
      <c r="I42" s="563"/>
      <c r="J42" s="563"/>
      <c r="K42" s="591"/>
      <c r="L42" s="591"/>
      <c r="M42" s="591"/>
      <c r="N42" s="591"/>
      <c r="O42" s="591"/>
      <c r="P42" s="591"/>
      <c r="Q42" s="591"/>
      <c r="R42" s="591"/>
      <c r="S42" s="591"/>
      <c r="T42" s="591"/>
      <c r="U42" s="591"/>
      <c r="V42" s="614" t="s">
        <v>173</v>
      </c>
      <c r="W42" s="612" t="s">
        <v>429</v>
      </c>
    </row>
    <row r="43" spans="1:23" ht="45">
      <c r="A43" s="565">
        <v>15</v>
      </c>
      <c r="B43" s="615" t="s">
        <v>208</v>
      </c>
      <c r="C43" s="555" t="s">
        <v>53</v>
      </c>
      <c r="D43" s="555" t="s">
        <v>53</v>
      </c>
      <c r="E43" s="566">
        <f t="shared" si="7"/>
        <v>1.6</v>
      </c>
      <c r="F43" s="590"/>
      <c r="G43" s="563">
        <f t="shared" si="6"/>
        <v>1.6</v>
      </c>
      <c r="H43" s="563"/>
      <c r="I43" s="563"/>
      <c r="J43" s="563">
        <v>0.6</v>
      </c>
      <c r="K43" s="591">
        <v>1</v>
      </c>
      <c r="L43" s="591"/>
      <c r="M43" s="591"/>
      <c r="N43" s="591"/>
      <c r="O43" s="591"/>
      <c r="P43" s="591"/>
      <c r="Q43" s="591"/>
      <c r="R43" s="591"/>
      <c r="S43" s="591"/>
      <c r="T43" s="591"/>
      <c r="U43" s="591"/>
      <c r="V43" s="592" t="s">
        <v>189</v>
      </c>
      <c r="W43" s="558" t="s">
        <v>428</v>
      </c>
    </row>
    <row r="44" spans="1:23" ht="45">
      <c r="A44" s="565">
        <v>16</v>
      </c>
      <c r="B44" s="601" t="s">
        <v>427</v>
      </c>
      <c r="C44" s="555" t="s">
        <v>53</v>
      </c>
      <c r="D44" s="555" t="s">
        <v>53</v>
      </c>
      <c r="E44" s="566">
        <f t="shared" si="7"/>
        <v>0.2</v>
      </c>
      <c r="F44" s="590"/>
      <c r="G44" s="563">
        <f t="shared" si="6"/>
        <v>0.2</v>
      </c>
      <c r="H44" s="563"/>
      <c r="I44" s="563"/>
      <c r="J44" s="563">
        <v>0.2</v>
      </c>
      <c r="K44" s="591"/>
      <c r="L44" s="591"/>
      <c r="M44" s="591"/>
      <c r="N44" s="591"/>
      <c r="O44" s="591"/>
      <c r="P44" s="591"/>
      <c r="Q44" s="591"/>
      <c r="R44" s="591"/>
      <c r="S44" s="591"/>
      <c r="T44" s="591"/>
      <c r="U44" s="591"/>
      <c r="V44" s="614" t="s">
        <v>170</v>
      </c>
      <c r="W44" s="601" t="s">
        <v>426</v>
      </c>
    </row>
    <row r="45" spans="1:23" ht="75">
      <c r="A45" s="565">
        <v>17</v>
      </c>
      <c r="B45" s="601" t="s">
        <v>425</v>
      </c>
      <c r="C45" s="555" t="s">
        <v>45</v>
      </c>
      <c r="D45" s="555" t="s">
        <v>196</v>
      </c>
      <c r="E45" s="566">
        <f t="shared" si="7"/>
        <v>0.55000000000000004</v>
      </c>
      <c r="F45" s="590">
        <v>0.55000000000000004</v>
      </c>
      <c r="G45" s="563">
        <f t="shared" si="6"/>
        <v>0</v>
      </c>
      <c r="H45" s="563"/>
      <c r="I45" s="563"/>
      <c r="J45" s="563"/>
      <c r="K45" s="591"/>
      <c r="L45" s="591"/>
      <c r="M45" s="591"/>
      <c r="N45" s="591"/>
      <c r="O45" s="591"/>
      <c r="P45" s="591"/>
      <c r="Q45" s="591"/>
      <c r="R45" s="591"/>
      <c r="S45" s="591"/>
      <c r="T45" s="591"/>
      <c r="U45" s="591"/>
      <c r="V45" s="592" t="s">
        <v>172</v>
      </c>
      <c r="W45" s="601" t="s">
        <v>424</v>
      </c>
    </row>
    <row r="46" spans="1:23" ht="45">
      <c r="A46" s="565">
        <f t="shared" ref="A46:A51" si="8">A45+1</f>
        <v>18</v>
      </c>
      <c r="B46" s="601" t="s">
        <v>423</v>
      </c>
      <c r="C46" s="555" t="s">
        <v>45</v>
      </c>
      <c r="D46" s="555" t="s">
        <v>196</v>
      </c>
      <c r="E46" s="566">
        <f t="shared" si="7"/>
        <v>0.17</v>
      </c>
      <c r="F46" s="590">
        <v>0.17</v>
      </c>
      <c r="G46" s="563">
        <f t="shared" si="6"/>
        <v>0</v>
      </c>
      <c r="H46" s="563"/>
      <c r="I46" s="563"/>
      <c r="J46" s="563"/>
      <c r="K46" s="591"/>
      <c r="L46" s="591"/>
      <c r="M46" s="591"/>
      <c r="N46" s="591"/>
      <c r="O46" s="591"/>
      <c r="P46" s="591"/>
      <c r="Q46" s="591"/>
      <c r="R46" s="591"/>
      <c r="S46" s="591"/>
      <c r="T46" s="591"/>
      <c r="U46" s="591"/>
      <c r="V46" s="592" t="s">
        <v>172</v>
      </c>
      <c r="W46" s="769" t="s">
        <v>422</v>
      </c>
    </row>
    <row r="47" spans="1:23" ht="105">
      <c r="A47" s="565">
        <f t="shared" si="8"/>
        <v>19</v>
      </c>
      <c r="B47" s="601" t="s">
        <v>421</v>
      </c>
      <c r="C47" s="555" t="s">
        <v>45</v>
      </c>
      <c r="D47" s="555" t="s">
        <v>196</v>
      </c>
      <c r="E47" s="566">
        <f t="shared" si="7"/>
        <v>0.68</v>
      </c>
      <c r="F47" s="590">
        <v>0.68</v>
      </c>
      <c r="G47" s="563">
        <f t="shared" si="6"/>
        <v>0</v>
      </c>
      <c r="H47" s="563"/>
      <c r="I47" s="563"/>
      <c r="J47" s="563"/>
      <c r="K47" s="591"/>
      <c r="L47" s="591"/>
      <c r="M47" s="591"/>
      <c r="N47" s="591"/>
      <c r="O47" s="591"/>
      <c r="P47" s="591"/>
      <c r="Q47" s="591"/>
      <c r="R47" s="591"/>
      <c r="S47" s="591"/>
      <c r="T47" s="591"/>
      <c r="U47" s="591"/>
      <c r="V47" s="614" t="s">
        <v>170</v>
      </c>
      <c r="W47" s="769"/>
    </row>
    <row r="48" spans="1:23" ht="45">
      <c r="A48" s="565">
        <f t="shared" si="8"/>
        <v>20</v>
      </c>
      <c r="B48" s="601" t="s">
        <v>420</v>
      </c>
      <c r="C48" s="555" t="s">
        <v>45</v>
      </c>
      <c r="D48" s="555" t="s">
        <v>196</v>
      </c>
      <c r="E48" s="566">
        <f t="shared" si="7"/>
        <v>0.17</v>
      </c>
      <c r="F48" s="590">
        <v>0.17</v>
      </c>
      <c r="G48" s="563">
        <f t="shared" si="6"/>
        <v>0</v>
      </c>
      <c r="H48" s="563"/>
      <c r="I48" s="563"/>
      <c r="J48" s="563"/>
      <c r="K48" s="591"/>
      <c r="L48" s="591"/>
      <c r="M48" s="591"/>
      <c r="N48" s="591"/>
      <c r="O48" s="591"/>
      <c r="P48" s="591"/>
      <c r="Q48" s="591"/>
      <c r="R48" s="591"/>
      <c r="S48" s="591"/>
      <c r="T48" s="591"/>
      <c r="U48" s="591"/>
      <c r="V48" s="592" t="s">
        <v>168</v>
      </c>
      <c r="W48" s="769"/>
    </row>
    <row r="49" spans="1:24" ht="70.5" customHeight="1">
      <c r="A49" s="565">
        <f t="shared" si="8"/>
        <v>21</v>
      </c>
      <c r="B49" s="558" t="s">
        <v>419</v>
      </c>
      <c r="C49" s="555" t="s">
        <v>45</v>
      </c>
      <c r="D49" s="555" t="s">
        <v>196</v>
      </c>
      <c r="E49" s="566">
        <v>3.9</v>
      </c>
      <c r="F49" s="590">
        <v>3.9</v>
      </c>
      <c r="G49" s="563">
        <f t="shared" si="6"/>
        <v>0</v>
      </c>
      <c r="H49" s="563"/>
      <c r="I49" s="563"/>
      <c r="J49" s="563"/>
      <c r="K49" s="591"/>
      <c r="L49" s="591"/>
      <c r="M49" s="591"/>
      <c r="N49" s="591"/>
      <c r="O49" s="591"/>
      <c r="P49" s="591"/>
      <c r="Q49" s="591"/>
      <c r="R49" s="591"/>
      <c r="S49" s="591"/>
      <c r="T49" s="591"/>
      <c r="U49" s="591"/>
      <c r="V49" s="613" t="s">
        <v>418</v>
      </c>
      <c r="W49" s="558" t="s">
        <v>417</v>
      </c>
    </row>
    <row r="50" spans="1:24" ht="60">
      <c r="A50" s="565">
        <f t="shared" si="8"/>
        <v>22</v>
      </c>
      <c r="B50" s="558" t="s">
        <v>213</v>
      </c>
      <c r="C50" s="555" t="s">
        <v>45</v>
      </c>
      <c r="D50" s="555" t="s">
        <v>196</v>
      </c>
      <c r="E50" s="566">
        <f>F50+G50</f>
        <v>1</v>
      </c>
      <c r="F50" s="590"/>
      <c r="G50" s="563">
        <f t="shared" si="6"/>
        <v>1</v>
      </c>
      <c r="H50" s="563"/>
      <c r="I50" s="563"/>
      <c r="J50" s="563">
        <v>0.3</v>
      </c>
      <c r="K50" s="591">
        <v>0.7</v>
      </c>
      <c r="L50" s="591"/>
      <c r="M50" s="591"/>
      <c r="N50" s="591"/>
      <c r="O50" s="591"/>
      <c r="P50" s="591"/>
      <c r="Q50" s="591"/>
      <c r="R50" s="591"/>
      <c r="S50" s="591"/>
      <c r="T50" s="591"/>
      <c r="U50" s="591"/>
      <c r="V50" s="592" t="s">
        <v>168</v>
      </c>
      <c r="W50" s="601" t="s">
        <v>416</v>
      </c>
    </row>
    <row r="51" spans="1:24" ht="45">
      <c r="A51" s="565">
        <f t="shared" si="8"/>
        <v>23</v>
      </c>
      <c r="B51" s="558" t="s">
        <v>415</v>
      </c>
      <c r="C51" s="555" t="s">
        <v>57</v>
      </c>
      <c r="D51" s="555" t="s">
        <v>57</v>
      </c>
      <c r="E51" s="566">
        <v>1</v>
      </c>
      <c r="F51" s="590">
        <v>1</v>
      </c>
      <c r="G51" s="563">
        <f t="shared" si="6"/>
        <v>0</v>
      </c>
      <c r="H51" s="563"/>
      <c r="I51" s="563"/>
      <c r="J51" s="563"/>
      <c r="K51" s="591"/>
      <c r="L51" s="591"/>
      <c r="M51" s="591"/>
      <c r="N51" s="591"/>
      <c r="O51" s="591"/>
      <c r="P51" s="591"/>
      <c r="Q51" s="591"/>
      <c r="R51" s="591"/>
      <c r="S51" s="591"/>
      <c r="T51" s="591"/>
      <c r="U51" s="591"/>
      <c r="V51" s="614" t="s">
        <v>168</v>
      </c>
      <c r="W51" s="601" t="s">
        <v>414</v>
      </c>
    </row>
    <row r="52" spans="1:24" ht="30">
      <c r="A52" s="565">
        <v>24</v>
      </c>
      <c r="B52" s="558" t="s">
        <v>413</v>
      </c>
      <c r="C52" s="555" t="s">
        <v>45</v>
      </c>
      <c r="D52" s="555" t="s">
        <v>196</v>
      </c>
      <c r="E52" s="566">
        <f>F52+G52</f>
        <v>6</v>
      </c>
      <c r="F52" s="563"/>
      <c r="G52" s="563">
        <f t="shared" si="6"/>
        <v>6</v>
      </c>
      <c r="H52" s="563"/>
      <c r="I52" s="563"/>
      <c r="J52" s="567">
        <v>4.2</v>
      </c>
      <c r="K52" s="567">
        <v>1.8</v>
      </c>
      <c r="L52" s="567"/>
      <c r="M52" s="567"/>
      <c r="N52" s="567"/>
      <c r="O52" s="567"/>
      <c r="P52" s="567"/>
      <c r="Q52" s="567"/>
      <c r="R52" s="567"/>
      <c r="S52" s="567"/>
      <c r="T52" s="567"/>
      <c r="U52" s="567"/>
      <c r="V52" s="568" t="s">
        <v>168</v>
      </c>
      <c r="W52" s="766" t="s">
        <v>412</v>
      </c>
    </row>
    <row r="53" spans="1:24" ht="45">
      <c r="A53" s="565">
        <v>25</v>
      </c>
      <c r="B53" s="558" t="s">
        <v>411</v>
      </c>
      <c r="C53" s="555" t="s">
        <v>45</v>
      </c>
      <c r="D53" s="555" t="s">
        <v>196</v>
      </c>
      <c r="E53" s="566">
        <f>F53+G53</f>
        <v>2.5</v>
      </c>
      <c r="F53" s="563"/>
      <c r="G53" s="563">
        <f t="shared" si="6"/>
        <v>2.5</v>
      </c>
      <c r="H53" s="563"/>
      <c r="I53" s="563"/>
      <c r="J53" s="567">
        <v>0.8</v>
      </c>
      <c r="K53" s="567">
        <v>1.5</v>
      </c>
      <c r="L53" s="567"/>
      <c r="M53" s="567"/>
      <c r="N53" s="567"/>
      <c r="O53" s="567">
        <v>0.2</v>
      </c>
      <c r="P53" s="567"/>
      <c r="Q53" s="567"/>
      <c r="R53" s="567"/>
      <c r="S53" s="567"/>
      <c r="T53" s="567"/>
      <c r="U53" s="567"/>
      <c r="V53" s="568" t="s">
        <v>168</v>
      </c>
      <c r="W53" s="766"/>
    </row>
    <row r="54" spans="1:24" ht="45">
      <c r="A54" s="565">
        <v>26</v>
      </c>
      <c r="B54" s="558" t="s">
        <v>385</v>
      </c>
      <c r="C54" s="555" t="s">
        <v>45</v>
      </c>
      <c r="D54" s="555" t="s">
        <v>196</v>
      </c>
      <c r="E54" s="566">
        <v>0.5</v>
      </c>
      <c r="F54" s="590"/>
      <c r="G54" s="563">
        <f t="shared" si="6"/>
        <v>0.5</v>
      </c>
      <c r="H54" s="563"/>
      <c r="I54" s="563"/>
      <c r="J54" s="563">
        <v>0.2</v>
      </c>
      <c r="K54" s="591">
        <v>0.3</v>
      </c>
      <c r="L54" s="591"/>
      <c r="M54" s="591"/>
      <c r="N54" s="591"/>
      <c r="O54" s="591"/>
      <c r="P54" s="591"/>
      <c r="Q54" s="591"/>
      <c r="R54" s="591"/>
      <c r="S54" s="591"/>
      <c r="T54" s="591"/>
      <c r="U54" s="591"/>
      <c r="V54" s="617" t="s">
        <v>173</v>
      </c>
      <c r="W54" s="601" t="s">
        <v>384</v>
      </c>
    </row>
    <row r="55" spans="1:24" ht="45">
      <c r="A55" s="565">
        <v>27</v>
      </c>
      <c r="B55" s="558" t="s">
        <v>383</v>
      </c>
      <c r="C55" s="555" t="s">
        <v>45</v>
      </c>
      <c r="D55" s="555" t="s">
        <v>196</v>
      </c>
      <c r="E55" s="566">
        <v>0.3</v>
      </c>
      <c r="F55" s="590"/>
      <c r="G55" s="563">
        <f t="shared" si="6"/>
        <v>0.3</v>
      </c>
      <c r="H55" s="563"/>
      <c r="I55" s="563"/>
      <c r="J55" s="563">
        <v>0.3</v>
      </c>
      <c r="K55" s="591"/>
      <c r="L55" s="591"/>
      <c r="M55" s="591"/>
      <c r="N55" s="591"/>
      <c r="O55" s="591"/>
      <c r="P55" s="591"/>
      <c r="Q55" s="591"/>
      <c r="R55" s="591"/>
      <c r="S55" s="591"/>
      <c r="T55" s="591"/>
      <c r="U55" s="591"/>
      <c r="V55" s="617" t="s">
        <v>173</v>
      </c>
      <c r="W55" s="601" t="s">
        <v>382</v>
      </c>
    </row>
    <row r="56" spans="1:24" ht="75">
      <c r="A56" s="565">
        <v>28</v>
      </c>
      <c r="B56" s="558" t="s">
        <v>408</v>
      </c>
      <c r="C56" s="555" t="s">
        <v>45</v>
      </c>
      <c r="D56" s="555" t="s">
        <v>51</v>
      </c>
      <c r="E56" s="566">
        <f t="shared" ref="E56:E95" si="9">F56+G56</f>
        <v>18.5</v>
      </c>
      <c r="F56" s="563"/>
      <c r="G56" s="563">
        <f t="shared" si="6"/>
        <v>18.5</v>
      </c>
      <c r="H56" s="563"/>
      <c r="I56" s="563"/>
      <c r="J56" s="567">
        <v>10</v>
      </c>
      <c r="K56" s="567">
        <v>8.5</v>
      </c>
      <c r="L56" s="567"/>
      <c r="M56" s="567"/>
      <c r="N56" s="567"/>
      <c r="O56" s="567"/>
      <c r="P56" s="567"/>
      <c r="Q56" s="567"/>
      <c r="R56" s="567"/>
      <c r="S56" s="567"/>
      <c r="T56" s="567"/>
      <c r="U56" s="567"/>
      <c r="V56" s="568" t="s">
        <v>174</v>
      </c>
      <c r="W56" s="558" t="s">
        <v>407</v>
      </c>
    </row>
    <row r="57" spans="1:24">
      <c r="A57" s="755">
        <v>29</v>
      </c>
      <c r="B57" s="763" t="s">
        <v>219</v>
      </c>
      <c r="C57" s="574" t="s">
        <v>53</v>
      </c>
      <c r="D57" s="574" t="s">
        <v>53</v>
      </c>
      <c r="E57" s="562">
        <f t="shared" si="9"/>
        <v>38.36</v>
      </c>
      <c r="F57" s="605"/>
      <c r="G57" s="563">
        <f t="shared" si="6"/>
        <v>38.36</v>
      </c>
      <c r="H57" s="575"/>
      <c r="I57" s="575"/>
      <c r="J57" s="576">
        <v>25.13</v>
      </c>
      <c r="K57" s="576">
        <v>13.23</v>
      </c>
      <c r="L57" s="576"/>
      <c r="M57" s="576"/>
      <c r="N57" s="576"/>
      <c r="O57" s="576"/>
      <c r="P57" s="576"/>
      <c r="Q57" s="576"/>
      <c r="R57" s="576"/>
      <c r="S57" s="576"/>
      <c r="T57" s="576"/>
      <c r="U57" s="576"/>
      <c r="V57" s="618" t="s">
        <v>169</v>
      </c>
      <c r="W57" s="769" t="s">
        <v>492</v>
      </c>
    </row>
    <row r="58" spans="1:24">
      <c r="A58" s="755"/>
      <c r="B58" s="764"/>
      <c r="C58" s="580" t="s">
        <v>57</v>
      </c>
      <c r="D58" s="580" t="s">
        <v>57</v>
      </c>
      <c r="E58" s="581">
        <f t="shared" si="9"/>
        <v>1.75</v>
      </c>
      <c r="F58" s="619"/>
      <c r="G58" s="563">
        <f t="shared" si="6"/>
        <v>1.75</v>
      </c>
      <c r="H58" s="582"/>
      <c r="I58" s="582"/>
      <c r="J58" s="583">
        <v>1.75</v>
      </c>
      <c r="K58" s="583"/>
      <c r="L58" s="583"/>
      <c r="M58" s="583"/>
      <c r="N58" s="583"/>
      <c r="O58" s="583"/>
      <c r="P58" s="583"/>
      <c r="Q58" s="583"/>
      <c r="R58" s="583"/>
      <c r="S58" s="583"/>
      <c r="T58" s="583"/>
      <c r="U58" s="583"/>
      <c r="V58" s="620" t="s">
        <v>169</v>
      </c>
      <c r="W58" s="769"/>
    </row>
    <row r="59" spans="1:24">
      <c r="A59" s="755"/>
      <c r="B59" s="764"/>
      <c r="C59" s="580" t="s">
        <v>70</v>
      </c>
      <c r="D59" s="580" t="s">
        <v>70</v>
      </c>
      <c r="E59" s="581">
        <f t="shared" si="9"/>
        <v>2.77</v>
      </c>
      <c r="F59" s="619"/>
      <c r="G59" s="563">
        <f t="shared" si="6"/>
        <v>2.77</v>
      </c>
      <c r="H59" s="582"/>
      <c r="I59" s="582"/>
      <c r="J59" s="583">
        <v>1.57</v>
      </c>
      <c r="K59" s="583">
        <v>1.2</v>
      </c>
      <c r="L59" s="583"/>
      <c r="M59" s="583"/>
      <c r="N59" s="583"/>
      <c r="O59" s="583"/>
      <c r="P59" s="583"/>
      <c r="Q59" s="583"/>
      <c r="R59" s="583"/>
      <c r="S59" s="583"/>
      <c r="T59" s="583"/>
      <c r="U59" s="583"/>
      <c r="V59" s="620" t="s">
        <v>169</v>
      </c>
      <c r="W59" s="769"/>
    </row>
    <row r="60" spans="1:24">
      <c r="A60" s="755"/>
      <c r="B60" s="764"/>
      <c r="C60" s="580" t="s">
        <v>68</v>
      </c>
      <c r="D60" s="580" t="s">
        <v>68</v>
      </c>
      <c r="E60" s="581">
        <f t="shared" si="9"/>
        <v>0.13</v>
      </c>
      <c r="F60" s="619"/>
      <c r="G60" s="563">
        <f t="shared" si="6"/>
        <v>0.13</v>
      </c>
      <c r="H60" s="582"/>
      <c r="I60" s="582"/>
      <c r="J60" s="583">
        <v>0.13</v>
      </c>
      <c r="K60" s="583"/>
      <c r="L60" s="583"/>
      <c r="M60" s="583"/>
      <c r="N60" s="583"/>
      <c r="O60" s="583"/>
      <c r="P60" s="583"/>
      <c r="Q60" s="583"/>
      <c r="R60" s="583"/>
      <c r="S60" s="583"/>
      <c r="T60" s="583"/>
      <c r="U60" s="583"/>
      <c r="V60" s="620" t="s">
        <v>169</v>
      </c>
      <c r="W60" s="769"/>
    </row>
    <row r="61" spans="1:24">
      <c r="A61" s="755"/>
      <c r="B61" s="764"/>
      <c r="C61" s="580" t="s">
        <v>45</v>
      </c>
      <c r="D61" s="580" t="s">
        <v>194</v>
      </c>
      <c r="E61" s="581">
        <f t="shared" si="9"/>
        <v>7.4</v>
      </c>
      <c r="F61" s="619"/>
      <c r="G61" s="563">
        <f t="shared" si="6"/>
        <v>7.4</v>
      </c>
      <c r="H61" s="582"/>
      <c r="I61" s="582"/>
      <c r="J61" s="583">
        <v>4.9000000000000004</v>
      </c>
      <c r="K61" s="583">
        <v>2.5</v>
      </c>
      <c r="L61" s="583"/>
      <c r="M61" s="583"/>
      <c r="N61" s="583"/>
      <c r="O61" s="583"/>
      <c r="P61" s="583"/>
      <c r="Q61" s="583"/>
      <c r="R61" s="583"/>
      <c r="S61" s="583"/>
      <c r="T61" s="583"/>
      <c r="U61" s="583"/>
      <c r="V61" s="620" t="s">
        <v>169</v>
      </c>
      <c r="W61" s="769"/>
    </row>
    <row r="62" spans="1:24">
      <c r="A62" s="755"/>
      <c r="B62" s="764"/>
      <c r="C62" s="580" t="s">
        <v>45</v>
      </c>
      <c r="D62" s="580" t="s">
        <v>192</v>
      </c>
      <c r="E62" s="581">
        <f t="shared" si="9"/>
        <v>0.27</v>
      </c>
      <c r="F62" s="619"/>
      <c r="G62" s="563">
        <f t="shared" si="6"/>
        <v>0.27</v>
      </c>
      <c r="H62" s="582"/>
      <c r="I62" s="582"/>
      <c r="J62" s="583">
        <v>0.27</v>
      </c>
      <c r="K62" s="583"/>
      <c r="L62" s="583"/>
      <c r="M62" s="583"/>
      <c r="N62" s="583"/>
      <c r="O62" s="583"/>
      <c r="P62" s="583"/>
      <c r="Q62" s="583"/>
      <c r="R62" s="583"/>
      <c r="S62" s="583"/>
      <c r="T62" s="583"/>
      <c r="U62" s="583"/>
      <c r="V62" s="620" t="s">
        <v>169</v>
      </c>
      <c r="W62" s="769"/>
    </row>
    <row r="63" spans="1:24">
      <c r="A63" s="755"/>
      <c r="B63" s="765"/>
      <c r="C63" s="585" t="s">
        <v>45</v>
      </c>
      <c r="D63" s="585" t="s">
        <v>196</v>
      </c>
      <c r="E63" s="586">
        <f t="shared" si="9"/>
        <v>22.32</v>
      </c>
      <c r="F63" s="608">
        <v>2.89</v>
      </c>
      <c r="G63" s="563">
        <f t="shared" si="6"/>
        <v>19.43</v>
      </c>
      <c r="H63" s="587"/>
      <c r="I63" s="587"/>
      <c r="J63" s="587">
        <v>9.73</v>
      </c>
      <c r="K63" s="609">
        <v>8.1999999999999993</v>
      </c>
      <c r="L63" s="609"/>
      <c r="M63" s="609"/>
      <c r="N63" s="609"/>
      <c r="O63" s="609"/>
      <c r="P63" s="609"/>
      <c r="Q63" s="609"/>
      <c r="R63" s="609"/>
      <c r="S63" s="609"/>
      <c r="T63" s="609">
        <v>1.5</v>
      </c>
      <c r="U63" s="609"/>
      <c r="V63" s="621" t="s">
        <v>169</v>
      </c>
      <c r="W63" s="769"/>
      <c r="X63" s="533">
        <v>42</v>
      </c>
    </row>
    <row r="64" spans="1:24" ht="90">
      <c r="A64" s="565">
        <v>30</v>
      </c>
      <c r="B64" s="558" t="s">
        <v>220</v>
      </c>
      <c r="C64" s="555" t="s">
        <v>45</v>
      </c>
      <c r="D64" s="555" t="s">
        <v>196</v>
      </c>
      <c r="E64" s="566">
        <f t="shared" si="9"/>
        <v>2</v>
      </c>
      <c r="F64" s="590">
        <v>2</v>
      </c>
      <c r="G64" s="563">
        <f t="shared" si="6"/>
        <v>0</v>
      </c>
      <c r="H64" s="563"/>
      <c r="I64" s="563"/>
      <c r="J64" s="563"/>
      <c r="K64" s="591"/>
      <c r="L64" s="591"/>
      <c r="M64" s="591"/>
      <c r="N64" s="591"/>
      <c r="O64" s="591"/>
      <c r="P64" s="591"/>
      <c r="Q64" s="591"/>
      <c r="R64" s="591" t="s">
        <v>202</v>
      </c>
      <c r="S64" s="591"/>
      <c r="T64" s="591"/>
      <c r="U64" s="591"/>
      <c r="V64" s="617" t="s">
        <v>169</v>
      </c>
      <c r="W64" s="601" t="s">
        <v>406</v>
      </c>
    </row>
    <row r="65" spans="1:24" ht="75">
      <c r="A65" s="565">
        <v>31</v>
      </c>
      <c r="B65" s="558" t="s">
        <v>218</v>
      </c>
      <c r="C65" s="555" t="s">
        <v>53</v>
      </c>
      <c r="D65" s="555" t="s">
        <v>53</v>
      </c>
      <c r="E65" s="566">
        <f t="shared" si="9"/>
        <v>6.08</v>
      </c>
      <c r="F65" s="590"/>
      <c r="G65" s="563">
        <f t="shared" si="6"/>
        <v>6.08</v>
      </c>
      <c r="H65" s="563"/>
      <c r="I65" s="563"/>
      <c r="J65" s="563">
        <f>5.5-1.92</f>
        <v>3.58</v>
      </c>
      <c r="K65" s="591">
        <f>3.5-1</f>
        <v>2.5</v>
      </c>
      <c r="L65" s="591"/>
      <c r="M65" s="591"/>
      <c r="N65" s="591"/>
      <c r="O65" s="591"/>
      <c r="P65" s="591"/>
      <c r="Q65" s="591"/>
      <c r="R65" s="591"/>
      <c r="S65" s="591"/>
      <c r="T65" s="591"/>
      <c r="U65" s="591"/>
      <c r="V65" s="622" t="s">
        <v>169</v>
      </c>
      <c r="W65" s="558" t="s">
        <v>405</v>
      </c>
    </row>
    <row r="66" spans="1:24" ht="37.5" customHeight="1">
      <c r="A66" s="755">
        <v>32</v>
      </c>
      <c r="B66" s="763" t="s">
        <v>404</v>
      </c>
      <c r="C66" s="574" t="s">
        <v>45</v>
      </c>
      <c r="D66" s="574" t="s">
        <v>193</v>
      </c>
      <c r="E66" s="562">
        <f t="shared" si="9"/>
        <v>1.1000000000000001</v>
      </c>
      <c r="F66" s="605"/>
      <c r="G66" s="563">
        <f t="shared" si="6"/>
        <v>1.1000000000000001</v>
      </c>
      <c r="H66" s="575"/>
      <c r="I66" s="575"/>
      <c r="J66" s="575">
        <v>1.1000000000000001</v>
      </c>
      <c r="K66" s="606"/>
      <c r="L66" s="606"/>
      <c r="M66" s="606"/>
      <c r="N66" s="606"/>
      <c r="O66" s="606"/>
      <c r="P66" s="606"/>
      <c r="Q66" s="606"/>
      <c r="R66" s="606"/>
      <c r="S66" s="606"/>
      <c r="T66" s="606"/>
      <c r="U66" s="606"/>
      <c r="V66" s="623" t="s">
        <v>197</v>
      </c>
      <c r="W66" s="766" t="s">
        <v>403</v>
      </c>
    </row>
    <row r="67" spans="1:24" ht="37.5" customHeight="1">
      <c r="A67" s="755"/>
      <c r="B67" s="764"/>
      <c r="C67" s="580" t="s">
        <v>45</v>
      </c>
      <c r="D67" s="580" t="s">
        <v>193</v>
      </c>
      <c r="E67" s="581">
        <f t="shared" si="9"/>
        <v>0.95</v>
      </c>
      <c r="F67" s="619"/>
      <c r="G67" s="563">
        <f t="shared" si="6"/>
        <v>0.95</v>
      </c>
      <c r="H67" s="582"/>
      <c r="I67" s="582"/>
      <c r="J67" s="582">
        <v>0.95</v>
      </c>
      <c r="K67" s="624"/>
      <c r="L67" s="624"/>
      <c r="M67" s="624"/>
      <c r="N67" s="624"/>
      <c r="O67" s="624"/>
      <c r="P67" s="624"/>
      <c r="Q67" s="624"/>
      <c r="R67" s="624"/>
      <c r="S67" s="624"/>
      <c r="T67" s="624"/>
      <c r="U67" s="624"/>
      <c r="V67" s="625" t="s">
        <v>171</v>
      </c>
      <c r="W67" s="766"/>
    </row>
    <row r="68" spans="1:24" ht="37.5" customHeight="1">
      <c r="A68" s="755"/>
      <c r="B68" s="765"/>
      <c r="C68" s="585" t="s">
        <v>45</v>
      </c>
      <c r="D68" s="585" t="s">
        <v>193</v>
      </c>
      <c r="E68" s="586">
        <f t="shared" si="9"/>
        <v>1.04</v>
      </c>
      <c r="F68" s="608"/>
      <c r="G68" s="563">
        <f t="shared" si="6"/>
        <v>1.04</v>
      </c>
      <c r="H68" s="587"/>
      <c r="I68" s="587"/>
      <c r="J68" s="587">
        <v>1.04</v>
      </c>
      <c r="K68" s="609"/>
      <c r="L68" s="609"/>
      <c r="M68" s="609"/>
      <c r="N68" s="609"/>
      <c r="O68" s="609"/>
      <c r="P68" s="609"/>
      <c r="Q68" s="609"/>
      <c r="R68" s="609"/>
      <c r="S68" s="609"/>
      <c r="T68" s="609"/>
      <c r="U68" s="609"/>
      <c r="V68" s="626" t="s">
        <v>173</v>
      </c>
      <c r="W68" s="766"/>
    </row>
    <row r="69" spans="1:24" ht="39.75" customHeight="1">
      <c r="A69" s="755">
        <v>33</v>
      </c>
      <c r="B69" s="763" t="s">
        <v>402</v>
      </c>
      <c r="C69" s="574" t="s">
        <v>45</v>
      </c>
      <c r="D69" s="574" t="s">
        <v>193</v>
      </c>
      <c r="E69" s="562">
        <f t="shared" si="9"/>
        <v>0.5</v>
      </c>
      <c r="F69" s="605"/>
      <c r="G69" s="563">
        <f t="shared" si="6"/>
        <v>0.5</v>
      </c>
      <c r="H69" s="575"/>
      <c r="I69" s="575"/>
      <c r="J69" s="575">
        <v>0.5</v>
      </c>
      <c r="K69" s="606"/>
      <c r="L69" s="606"/>
      <c r="M69" s="606"/>
      <c r="N69" s="606"/>
      <c r="O69" s="606"/>
      <c r="P69" s="606"/>
      <c r="Q69" s="606"/>
      <c r="R69" s="606"/>
      <c r="S69" s="606"/>
      <c r="T69" s="606"/>
      <c r="U69" s="606"/>
      <c r="V69" s="623" t="s">
        <v>171</v>
      </c>
      <c r="W69" s="766" t="s">
        <v>401</v>
      </c>
    </row>
    <row r="70" spans="1:24" ht="39.75" customHeight="1">
      <c r="A70" s="755"/>
      <c r="B70" s="765"/>
      <c r="C70" s="585" t="s">
        <v>45</v>
      </c>
      <c r="D70" s="585" t="s">
        <v>193</v>
      </c>
      <c r="E70" s="586">
        <f t="shared" si="9"/>
        <v>0.54</v>
      </c>
      <c r="F70" s="608"/>
      <c r="G70" s="563">
        <f t="shared" si="6"/>
        <v>0.54</v>
      </c>
      <c r="H70" s="587"/>
      <c r="I70" s="587"/>
      <c r="J70" s="587">
        <v>0.54</v>
      </c>
      <c r="K70" s="609"/>
      <c r="L70" s="609"/>
      <c r="M70" s="609"/>
      <c r="N70" s="609"/>
      <c r="O70" s="609"/>
      <c r="P70" s="609"/>
      <c r="Q70" s="609"/>
      <c r="R70" s="609"/>
      <c r="S70" s="609"/>
      <c r="T70" s="609"/>
      <c r="U70" s="609"/>
      <c r="V70" s="626" t="s">
        <v>189</v>
      </c>
      <c r="W70" s="766"/>
    </row>
    <row r="71" spans="1:24" s="634" customFormat="1" ht="76.5" customHeight="1">
      <c r="A71" s="778">
        <v>34</v>
      </c>
      <c r="B71" s="779" t="s">
        <v>212</v>
      </c>
      <c r="C71" s="627" t="s">
        <v>55</v>
      </c>
      <c r="D71" s="627" t="s">
        <v>55</v>
      </c>
      <c r="E71" s="628">
        <f t="shared" si="9"/>
        <v>1</v>
      </c>
      <c r="F71" s="629">
        <v>1</v>
      </c>
      <c r="G71" s="563">
        <f t="shared" si="6"/>
        <v>0</v>
      </c>
      <c r="H71" s="630"/>
      <c r="I71" s="630"/>
      <c r="J71" s="630"/>
      <c r="K71" s="631"/>
      <c r="L71" s="631"/>
      <c r="M71" s="631"/>
      <c r="N71" s="631"/>
      <c r="O71" s="631"/>
      <c r="P71" s="631"/>
      <c r="Q71" s="631"/>
      <c r="R71" s="631"/>
      <c r="S71" s="631"/>
      <c r="T71" s="631"/>
      <c r="U71" s="631"/>
      <c r="V71" s="632" t="s">
        <v>168</v>
      </c>
      <c r="W71" s="781" t="s">
        <v>400</v>
      </c>
      <c r="X71" s="633"/>
    </row>
    <row r="72" spans="1:24" s="634" customFormat="1" ht="70.5" customHeight="1">
      <c r="A72" s="778"/>
      <c r="B72" s="780"/>
      <c r="C72" s="635" t="s">
        <v>45</v>
      </c>
      <c r="D72" s="635" t="s">
        <v>196</v>
      </c>
      <c r="E72" s="636">
        <f t="shared" si="9"/>
        <v>1</v>
      </c>
      <c r="F72" s="637">
        <v>1</v>
      </c>
      <c r="G72" s="563">
        <f t="shared" si="6"/>
        <v>0</v>
      </c>
      <c r="H72" s="638"/>
      <c r="I72" s="638"/>
      <c r="J72" s="638"/>
      <c r="K72" s="639"/>
      <c r="L72" s="639"/>
      <c r="M72" s="639"/>
      <c r="N72" s="639"/>
      <c r="O72" s="639"/>
      <c r="P72" s="639"/>
      <c r="Q72" s="639"/>
      <c r="R72" s="639"/>
      <c r="S72" s="639"/>
      <c r="T72" s="639"/>
      <c r="U72" s="639"/>
      <c r="V72" s="632" t="s">
        <v>168</v>
      </c>
      <c r="W72" s="781"/>
      <c r="X72" s="633"/>
    </row>
    <row r="73" spans="1:24" s="644" customFormat="1" ht="60">
      <c r="A73" s="569">
        <v>35</v>
      </c>
      <c r="B73" s="640" t="s">
        <v>207</v>
      </c>
      <c r="C73" s="555" t="s">
        <v>45</v>
      </c>
      <c r="D73" s="555" t="s">
        <v>196</v>
      </c>
      <c r="E73" s="566">
        <f t="shared" si="9"/>
        <v>2</v>
      </c>
      <c r="F73" s="590">
        <v>2</v>
      </c>
      <c r="G73" s="563">
        <f t="shared" si="6"/>
        <v>0</v>
      </c>
      <c r="H73" s="563"/>
      <c r="I73" s="563"/>
      <c r="J73" s="563"/>
      <c r="K73" s="591"/>
      <c r="L73" s="591"/>
      <c r="M73" s="591"/>
      <c r="N73" s="591"/>
      <c r="O73" s="591"/>
      <c r="P73" s="591"/>
      <c r="Q73" s="591"/>
      <c r="R73" s="591"/>
      <c r="S73" s="591"/>
      <c r="T73" s="591"/>
      <c r="U73" s="591"/>
      <c r="V73" s="641" t="s">
        <v>168</v>
      </c>
      <c r="W73" s="642" t="s">
        <v>399</v>
      </c>
      <c r="X73" s="643"/>
    </row>
    <row r="74" spans="1:24" s="644" customFormat="1" ht="120">
      <c r="A74" s="569">
        <v>36</v>
      </c>
      <c r="B74" s="640" t="s">
        <v>209</v>
      </c>
      <c r="C74" s="555" t="s">
        <v>45</v>
      </c>
      <c r="D74" s="555" t="s">
        <v>196</v>
      </c>
      <c r="E74" s="566">
        <f t="shared" si="9"/>
        <v>1.1000000000000001</v>
      </c>
      <c r="F74" s="590">
        <v>1.1000000000000001</v>
      </c>
      <c r="G74" s="563">
        <f t="shared" si="6"/>
        <v>0</v>
      </c>
      <c r="H74" s="563"/>
      <c r="I74" s="563"/>
      <c r="J74" s="563"/>
      <c r="K74" s="591"/>
      <c r="L74" s="591"/>
      <c r="M74" s="591"/>
      <c r="N74" s="591"/>
      <c r="O74" s="591"/>
      <c r="P74" s="591"/>
      <c r="Q74" s="591"/>
      <c r="R74" s="591"/>
      <c r="S74" s="591"/>
      <c r="T74" s="591"/>
      <c r="U74" s="591"/>
      <c r="V74" s="641" t="s">
        <v>168</v>
      </c>
      <c r="W74" s="645" t="s">
        <v>398</v>
      </c>
      <c r="X74" s="643"/>
    </row>
    <row r="75" spans="1:24" s="644" customFormat="1" ht="75">
      <c r="A75" s="569">
        <v>37</v>
      </c>
      <c r="B75" s="640" t="s">
        <v>204</v>
      </c>
      <c r="C75" s="555" t="s">
        <v>45</v>
      </c>
      <c r="D75" s="555" t="s">
        <v>206</v>
      </c>
      <c r="E75" s="566">
        <f t="shared" si="9"/>
        <v>0.3</v>
      </c>
      <c r="F75" s="590"/>
      <c r="G75" s="563">
        <f t="shared" si="6"/>
        <v>0.3</v>
      </c>
      <c r="H75" s="563"/>
      <c r="I75" s="563"/>
      <c r="J75" s="563">
        <v>0.3</v>
      </c>
      <c r="K75" s="591"/>
      <c r="L75" s="591"/>
      <c r="M75" s="591"/>
      <c r="N75" s="591"/>
      <c r="O75" s="591"/>
      <c r="P75" s="591"/>
      <c r="Q75" s="591"/>
      <c r="R75" s="591"/>
      <c r="S75" s="591"/>
      <c r="T75" s="591"/>
      <c r="U75" s="591"/>
      <c r="V75" s="641" t="s">
        <v>238</v>
      </c>
      <c r="W75" s="645" t="s">
        <v>397</v>
      </c>
      <c r="X75" s="643"/>
    </row>
    <row r="76" spans="1:24" s="644" customFormat="1" ht="45">
      <c r="A76" s="569">
        <f t="shared" ref="A76:A80" si="10">A75+1</f>
        <v>38</v>
      </c>
      <c r="B76" s="640" t="s">
        <v>396</v>
      </c>
      <c r="C76" s="555" t="s">
        <v>45</v>
      </c>
      <c r="D76" s="555" t="s">
        <v>196</v>
      </c>
      <c r="E76" s="566">
        <f t="shared" si="9"/>
        <v>2.5</v>
      </c>
      <c r="F76" s="590">
        <v>2.5</v>
      </c>
      <c r="G76" s="563">
        <f t="shared" si="6"/>
        <v>0</v>
      </c>
      <c r="H76" s="563"/>
      <c r="I76" s="563"/>
      <c r="J76" s="563"/>
      <c r="K76" s="591"/>
      <c r="L76" s="591"/>
      <c r="M76" s="591"/>
      <c r="N76" s="591"/>
      <c r="O76" s="591"/>
      <c r="P76" s="591"/>
      <c r="Q76" s="591"/>
      <c r="R76" s="591"/>
      <c r="S76" s="591"/>
      <c r="T76" s="591"/>
      <c r="U76" s="591"/>
      <c r="V76" s="641" t="s">
        <v>171</v>
      </c>
      <c r="W76" s="645" t="s">
        <v>395</v>
      </c>
      <c r="X76" s="643"/>
    </row>
    <row r="77" spans="1:24" s="644" customFormat="1" ht="75">
      <c r="A77" s="569">
        <f t="shared" si="10"/>
        <v>39</v>
      </c>
      <c r="B77" s="640" t="s">
        <v>214</v>
      </c>
      <c r="C77" s="555" t="s">
        <v>45</v>
      </c>
      <c r="D77" s="555" t="s">
        <v>196</v>
      </c>
      <c r="E77" s="566">
        <f t="shared" si="9"/>
        <v>5.43</v>
      </c>
      <c r="F77" s="590">
        <v>5.43</v>
      </c>
      <c r="G77" s="563">
        <f t="shared" si="6"/>
        <v>0</v>
      </c>
      <c r="H77" s="563"/>
      <c r="I77" s="563"/>
      <c r="J77" s="563"/>
      <c r="K77" s="591"/>
      <c r="L77" s="591"/>
      <c r="M77" s="591"/>
      <c r="N77" s="591"/>
      <c r="O77" s="591"/>
      <c r="P77" s="591"/>
      <c r="Q77" s="591"/>
      <c r="R77" s="591"/>
      <c r="S77" s="591"/>
      <c r="T77" s="591"/>
      <c r="U77" s="591"/>
      <c r="V77" s="641" t="s">
        <v>168</v>
      </c>
      <c r="W77" s="645" t="s">
        <v>394</v>
      </c>
      <c r="X77" s="643"/>
    </row>
    <row r="78" spans="1:24" s="644" customFormat="1" ht="45">
      <c r="A78" s="569">
        <f t="shared" si="10"/>
        <v>40</v>
      </c>
      <c r="B78" s="640" t="s">
        <v>215</v>
      </c>
      <c r="C78" s="555" t="s">
        <v>45</v>
      </c>
      <c r="D78" s="555" t="s">
        <v>194</v>
      </c>
      <c r="E78" s="566">
        <f t="shared" si="9"/>
        <v>19.96</v>
      </c>
      <c r="F78" s="590">
        <v>19.96</v>
      </c>
      <c r="G78" s="563">
        <f t="shared" si="6"/>
        <v>0</v>
      </c>
      <c r="H78" s="563"/>
      <c r="I78" s="563"/>
      <c r="J78" s="563"/>
      <c r="K78" s="591"/>
      <c r="L78" s="591"/>
      <c r="M78" s="591"/>
      <c r="N78" s="591"/>
      <c r="O78" s="591"/>
      <c r="P78" s="591"/>
      <c r="Q78" s="591"/>
      <c r="R78" s="591"/>
      <c r="S78" s="591"/>
      <c r="T78" s="591"/>
      <c r="U78" s="591"/>
      <c r="V78" s="641" t="s">
        <v>168</v>
      </c>
      <c r="W78" s="645" t="s">
        <v>393</v>
      </c>
      <c r="X78" s="643"/>
    </row>
    <row r="79" spans="1:24" s="644" customFormat="1" ht="75">
      <c r="A79" s="569">
        <f t="shared" si="10"/>
        <v>41</v>
      </c>
      <c r="B79" s="640" t="s">
        <v>392</v>
      </c>
      <c r="C79" s="555" t="s">
        <v>45</v>
      </c>
      <c r="D79" s="555" t="s">
        <v>196</v>
      </c>
      <c r="E79" s="566">
        <f t="shared" si="9"/>
        <v>0.60000000000000009</v>
      </c>
      <c r="F79" s="590">
        <v>0.60000000000000009</v>
      </c>
      <c r="G79" s="563">
        <f t="shared" si="6"/>
        <v>0</v>
      </c>
      <c r="H79" s="563"/>
      <c r="I79" s="563"/>
      <c r="J79" s="563"/>
      <c r="K79" s="591"/>
      <c r="L79" s="591"/>
      <c r="M79" s="591"/>
      <c r="N79" s="591"/>
      <c r="O79" s="591"/>
      <c r="P79" s="591"/>
      <c r="Q79" s="591"/>
      <c r="R79" s="591"/>
      <c r="S79" s="591"/>
      <c r="T79" s="591"/>
      <c r="U79" s="591"/>
      <c r="V79" s="641" t="s">
        <v>168</v>
      </c>
      <c r="W79" s="645" t="s">
        <v>391</v>
      </c>
      <c r="X79" s="643"/>
    </row>
    <row r="80" spans="1:24" s="644" customFormat="1" ht="45">
      <c r="A80" s="569">
        <f t="shared" si="10"/>
        <v>42</v>
      </c>
      <c r="B80" s="640" t="s">
        <v>216</v>
      </c>
      <c r="C80" s="555" t="s">
        <v>45</v>
      </c>
      <c r="D80" s="555" t="s">
        <v>196</v>
      </c>
      <c r="E80" s="566">
        <f t="shared" si="9"/>
        <v>0.6</v>
      </c>
      <c r="F80" s="590">
        <v>0.6</v>
      </c>
      <c r="G80" s="563">
        <f t="shared" si="6"/>
        <v>0</v>
      </c>
      <c r="H80" s="563"/>
      <c r="I80" s="563"/>
      <c r="J80" s="563"/>
      <c r="K80" s="591"/>
      <c r="L80" s="591"/>
      <c r="M80" s="591"/>
      <c r="N80" s="591"/>
      <c r="O80" s="591"/>
      <c r="P80" s="591"/>
      <c r="Q80" s="591"/>
      <c r="R80" s="591"/>
      <c r="S80" s="591"/>
      <c r="T80" s="591"/>
      <c r="U80" s="591"/>
      <c r="V80" s="641" t="s">
        <v>168</v>
      </c>
      <c r="W80" s="645" t="s">
        <v>390</v>
      </c>
      <c r="X80" s="643"/>
    </row>
    <row r="81" spans="1:24" s="644" customFormat="1" ht="30">
      <c r="A81" s="569">
        <v>43</v>
      </c>
      <c r="B81" s="640" t="s">
        <v>389</v>
      </c>
      <c r="C81" s="555" t="s">
        <v>45</v>
      </c>
      <c r="D81" s="555" t="s">
        <v>206</v>
      </c>
      <c r="E81" s="566">
        <f t="shared" si="9"/>
        <v>1</v>
      </c>
      <c r="F81" s="590">
        <v>1</v>
      </c>
      <c r="G81" s="563">
        <f t="shared" si="6"/>
        <v>0</v>
      </c>
      <c r="H81" s="563"/>
      <c r="I81" s="563"/>
      <c r="J81" s="563"/>
      <c r="K81" s="591"/>
      <c r="L81" s="591"/>
      <c r="M81" s="591"/>
      <c r="N81" s="591"/>
      <c r="O81" s="591"/>
      <c r="P81" s="591"/>
      <c r="Q81" s="591"/>
      <c r="R81" s="591"/>
      <c r="S81" s="591"/>
      <c r="T81" s="591"/>
      <c r="U81" s="591"/>
      <c r="V81" s="641" t="s">
        <v>168</v>
      </c>
      <c r="W81" s="645" t="s">
        <v>388</v>
      </c>
      <c r="X81" s="643"/>
    </row>
    <row r="82" spans="1:24" ht="60">
      <c r="A82" s="646">
        <v>44</v>
      </c>
      <c r="B82" s="647" t="s">
        <v>243</v>
      </c>
      <c r="C82" s="648" t="s">
        <v>45</v>
      </c>
      <c r="D82" s="648" t="s">
        <v>196</v>
      </c>
      <c r="E82" s="566">
        <f>F82+G82</f>
        <v>0.5</v>
      </c>
      <c r="F82" s="590">
        <v>0.3</v>
      </c>
      <c r="G82" s="563">
        <f>H82+SUM(J82:U82)</f>
        <v>0.2</v>
      </c>
      <c r="H82" s="563"/>
      <c r="I82" s="563"/>
      <c r="J82" s="563"/>
      <c r="K82" s="591"/>
      <c r="L82" s="591"/>
      <c r="M82" s="591"/>
      <c r="N82" s="591"/>
      <c r="O82" s="591"/>
      <c r="P82" s="591"/>
      <c r="Q82" s="591"/>
      <c r="R82" s="591">
        <v>0.2</v>
      </c>
      <c r="S82" s="591"/>
      <c r="T82" s="591"/>
      <c r="U82" s="591"/>
      <c r="V82" s="592" t="s">
        <v>168</v>
      </c>
      <c r="W82" s="649" t="s">
        <v>552</v>
      </c>
    </row>
    <row r="83" spans="1:24">
      <c r="A83" s="749">
        <v>45</v>
      </c>
      <c r="B83" s="758" t="s">
        <v>547</v>
      </c>
      <c r="C83" s="648" t="s">
        <v>45</v>
      </c>
      <c r="D83" s="648" t="s">
        <v>194</v>
      </c>
      <c r="E83" s="566">
        <f>F83+G83</f>
        <v>2.5</v>
      </c>
      <c r="F83" s="590"/>
      <c r="G83" s="563">
        <f>H83+SUM(J83:U83)</f>
        <v>2.5</v>
      </c>
      <c r="H83" s="563"/>
      <c r="I83" s="563"/>
      <c r="J83" s="563"/>
      <c r="K83" s="591">
        <v>2.5</v>
      </c>
      <c r="L83" s="591"/>
      <c r="M83" s="591"/>
      <c r="N83" s="591"/>
      <c r="O83" s="591"/>
      <c r="P83" s="591"/>
      <c r="Q83" s="591"/>
      <c r="R83" s="591"/>
      <c r="S83" s="591"/>
      <c r="T83" s="591"/>
      <c r="U83" s="591"/>
      <c r="V83" s="592" t="s">
        <v>168</v>
      </c>
      <c r="W83" s="749" t="s">
        <v>366</v>
      </c>
    </row>
    <row r="84" spans="1:24">
      <c r="A84" s="750"/>
      <c r="B84" s="760"/>
      <c r="C84" s="648" t="s">
        <v>55</v>
      </c>
      <c r="D84" s="648" t="s">
        <v>55</v>
      </c>
      <c r="E84" s="566">
        <f>F84+G84</f>
        <v>0.85</v>
      </c>
      <c r="F84" s="590"/>
      <c r="G84" s="563">
        <f>H84+SUM(J84:U84)</f>
        <v>0.85</v>
      </c>
      <c r="H84" s="563"/>
      <c r="I84" s="563"/>
      <c r="J84" s="563"/>
      <c r="K84" s="591">
        <v>0.85</v>
      </c>
      <c r="L84" s="591"/>
      <c r="M84" s="591"/>
      <c r="N84" s="591"/>
      <c r="O84" s="591"/>
      <c r="P84" s="591"/>
      <c r="Q84" s="591"/>
      <c r="R84" s="591"/>
      <c r="S84" s="591"/>
      <c r="T84" s="591"/>
      <c r="U84" s="591"/>
      <c r="V84" s="592" t="s">
        <v>168</v>
      </c>
      <c r="W84" s="750"/>
    </row>
    <row r="85" spans="1:24">
      <c r="A85" s="750"/>
      <c r="B85" s="760"/>
      <c r="C85" s="648" t="s">
        <v>45</v>
      </c>
      <c r="D85" s="648" t="s">
        <v>196</v>
      </c>
      <c r="E85" s="566">
        <f>F85+G85</f>
        <v>3.35</v>
      </c>
      <c r="F85" s="590">
        <v>1.55</v>
      </c>
      <c r="G85" s="563">
        <f>H85+SUM(J85:U85)</f>
        <v>1.8</v>
      </c>
      <c r="H85" s="563"/>
      <c r="I85" s="563"/>
      <c r="J85" s="563"/>
      <c r="K85" s="591">
        <v>1.8</v>
      </c>
      <c r="L85" s="591"/>
      <c r="M85" s="591"/>
      <c r="N85" s="591"/>
      <c r="O85" s="591"/>
      <c r="P85" s="591"/>
      <c r="Q85" s="591"/>
      <c r="R85" s="591"/>
      <c r="S85" s="591"/>
      <c r="T85" s="591"/>
      <c r="U85" s="591"/>
      <c r="V85" s="592" t="s">
        <v>168</v>
      </c>
      <c r="W85" s="750"/>
    </row>
    <row r="86" spans="1:24">
      <c r="A86" s="751"/>
      <c r="B86" s="759"/>
      <c r="C86" s="648" t="s">
        <v>45</v>
      </c>
      <c r="D86" s="648" t="s">
        <v>193</v>
      </c>
      <c r="E86" s="566">
        <f>F86+G86</f>
        <v>2.2999999999999998</v>
      </c>
      <c r="F86" s="590"/>
      <c r="G86" s="563">
        <f>H86+SUM(J86:U86)</f>
        <v>2.2999999999999998</v>
      </c>
      <c r="H86" s="563"/>
      <c r="I86" s="563"/>
      <c r="J86" s="563"/>
      <c r="K86" s="591">
        <v>2.2999999999999998</v>
      </c>
      <c r="L86" s="591"/>
      <c r="M86" s="591"/>
      <c r="N86" s="591"/>
      <c r="O86" s="591"/>
      <c r="P86" s="591"/>
      <c r="Q86" s="591"/>
      <c r="R86" s="591"/>
      <c r="S86" s="591"/>
      <c r="T86" s="591"/>
      <c r="U86" s="591"/>
      <c r="V86" s="592" t="s">
        <v>168</v>
      </c>
      <c r="W86" s="751"/>
    </row>
    <row r="87" spans="1:24" s="644" customFormat="1" ht="75">
      <c r="A87" s="569">
        <v>46</v>
      </c>
      <c r="B87" s="640" t="s">
        <v>387</v>
      </c>
      <c r="C87" s="555" t="s">
        <v>45</v>
      </c>
      <c r="D87" s="555" t="s">
        <v>192</v>
      </c>
      <c r="E87" s="566">
        <f t="shared" si="9"/>
        <v>0.5</v>
      </c>
      <c r="F87" s="590">
        <v>0.5</v>
      </c>
      <c r="G87" s="563">
        <f t="shared" si="6"/>
        <v>0</v>
      </c>
      <c r="H87" s="563"/>
      <c r="I87" s="563"/>
      <c r="J87" s="563"/>
      <c r="K87" s="591"/>
      <c r="L87" s="591"/>
      <c r="M87" s="591"/>
      <c r="N87" s="591"/>
      <c r="O87" s="591"/>
      <c r="P87" s="591"/>
      <c r="Q87" s="591"/>
      <c r="R87" s="591"/>
      <c r="S87" s="591"/>
      <c r="T87" s="591"/>
      <c r="U87" s="591"/>
      <c r="V87" s="641" t="s">
        <v>239</v>
      </c>
      <c r="W87" s="645" t="s">
        <v>386</v>
      </c>
      <c r="X87" s="643"/>
    </row>
    <row r="88" spans="1:24" s="644" customFormat="1" ht="45">
      <c r="A88" s="569">
        <v>47</v>
      </c>
      <c r="B88" s="640" t="s">
        <v>385</v>
      </c>
      <c r="C88" s="555" t="s">
        <v>45</v>
      </c>
      <c r="D88" s="555" t="s">
        <v>196</v>
      </c>
      <c r="E88" s="566">
        <f t="shared" si="9"/>
        <v>0.5</v>
      </c>
      <c r="F88" s="590">
        <v>0.5</v>
      </c>
      <c r="G88" s="563">
        <f t="shared" si="6"/>
        <v>0</v>
      </c>
      <c r="H88" s="563"/>
      <c r="I88" s="563"/>
      <c r="J88" s="563"/>
      <c r="K88" s="591"/>
      <c r="L88" s="591"/>
      <c r="M88" s="591"/>
      <c r="N88" s="591"/>
      <c r="O88" s="591"/>
      <c r="P88" s="591"/>
      <c r="Q88" s="591"/>
      <c r="R88" s="591"/>
      <c r="S88" s="591"/>
      <c r="T88" s="591"/>
      <c r="U88" s="591"/>
      <c r="V88" s="641" t="s">
        <v>240</v>
      </c>
      <c r="W88" s="645" t="s">
        <v>384</v>
      </c>
      <c r="X88" s="643"/>
    </row>
    <row r="89" spans="1:24" s="644" customFormat="1" ht="45">
      <c r="A89" s="569">
        <v>48</v>
      </c>
      <c r="B89" s="640" t="s">
        <v>383</v>
      </c>
      <c r="C89" s="555" t="s">
        <v>45</v>
      </c>
      <c r="D89" s="555" t="s">
        <v>196</v>
      </c>
      <c r="E89" s="566">
        <f t="shared" si="9"/>
        <v>0.3</v>
      </c>
      <c r="F89" s="590">
        <v>0.3</v>
      </c>
      <c r="G89" s="563">
        <f t="shared" si="6"/>
        <v>0</v>
      </c>
      <c r="H89" s="563"/>
      <c r="I89" s="563"/>
      <c r="J89" s="563"/>
      <c r="K89" s="591"/>
      <c r="L89" s="591"/>
      <c r="M89" s="591"/>
      <c r="N89" s="591"/>
      <c r="O89" s="591"/>
      <c r="P89" s="591"/>
      <c r="Q89" s="591"/>
      <c r="R89" s="591"/>
      <c r="S89" s="591"/>
      <c r="T89" s="591"/>
      <c r="U89" s="591"/>
      <c r="V89" s="641" t="s">
        <v>173</v>
      </c>
      <c r="W89" s="645" t="s">
        <v>382</v>
      </c>
      <c r="X89" s="643"/>
    </row>
    <row r="90" spans="1:24" s="644" customFormat="1" ht="120">
      <c r="A90" s="569">
        <v>49</v>
      </c>
      <c r="B90" s="640" t="s">
        <v>381</v>
      </c>
      <c r="C90" s="555" t="s">
        <v>45</v>
      </c>
      <c r="D90" s="555" t="s">
        <v>196</v>
      </c>
      <c r="E90" s="566">
        <f t="shared" si="9"/>
        <v>0.3</v>
      </c>
      <c r="F90" s="590">
        <v>0.3</v>
      </c>
      <c r="G90" s="563">
        <f t="shared" ref="G90:G136" si="11">H90+SUM(J90:U90)</f>
        <v>0</v>
      </c>
      <c r="H90" s="563"/>
      <c r="I90" s="563"/>
      <c r="J90" s="563"/>
      <c r="K90" s="591"/>
      <c r="L90" s="591"/>
      <c r="M90" s="591"/>
      <c r="N90" s="591"/>
      <c r="O90" s="591"/>
      <c r="P90" s="591"/>
      <c r="Q90" s="591"/>
      <c r="R90" s="591"/>
      <c r="S90" s="591"/>
      <c r="T90" s="591"/>
      <c r="U90" s="591"/>
      <c r="V90" s="641" t="s">
        <v>173</v>
      </c>
      <c r="W90" s="645" t="s">
        <v>375</v>
      </c>
      <c r="X90" s="643"/>
    </row>
    <row r="91" spans="1:24" s="644" customFormat="1" ht="120">
      <c r="A91" s="569">
        <v>50</v>
      </c>
      <c r="B91" s="640" t="s">
        <v>380</v>
      </c>
      <c r="C91" s="555" t="s">
        <v>45</v>
      </c>
      <c r="D91" s="555" t="s">
        <v>196</v>
      </c>
      <c r="E91" s="566">
        <f t="shared" si="9"/>
        <v>0.6</v>
      </c>
      <c r="F91" s="590">
        <v>0.6</v>
      </c>
      <c r="G91" s="563">
        <f t="shared" si="11"/>
        <v>0</v>
      </c>
      <c r="H91" s="563"/>
      <c r="I91" s="563"/>
      <c r="J91" s="563"/>
      <c r="K91" s="591"/>
      <c r="L91" s="591"/>
      <c r="M91" s="591"/>
      <c r="N91" s="591"/>
      <c r="O91" s="591"/>
      <c r="P91" s="591"/>
      <c r="Q91" s="591"/>
      <c r="R91" s="591"/>
      <c r="S91" s="591"/>
      <c r="T91" s="591"/>
      <c r="U91" s="591"/>
      <c r="V91" s="641" t="s">
        <v>173</v>
      </c>
      <c r="W91" s="645" t="s">
        <v>375</v>
      </c>
      <c r="X91" s="643"/>
    </row>
    <row r="92" spans="1:24" s="644" customFormat="1" ht="120">
      <c r="A92" s="569">
        <v>51</v>
      </c>
      <c r="B92" s="640" t="s">
        <v>379</v>
      </c>
      <c r="C92" s="555" t="s">
        <v>45</v>
      </c>
      <c r="D92" s="555" t="s">
        <v>196</v>
      </c>
      <c r="E92" s="566">
        <f t="shared" si="9"/>
        <v>0.8</v>
      </c>
      <c r="F92" s="590">
        <v>0.8</v>
      </c>
      <c r="G92" s="563">
        <f t="shared" si="11"/>
        <v>0</v>
      </c>
      <c r="H92" s="563"/>
      <c r="I92" s="563"/>
      <c r="J92" s="563"/>
      <c r="K92" s="591"/>
      <c r="L92" s="591"/>
      <c r="M92" s="591"/>
      <c r="N92" s="591"/>
      <c r="O92" s="591"/>
      <c r="P92" s="591"/>
      <c r="Q92" s="591"/>
      <c r="R92" s="591"/>
      <c r="S92" s="591"/>
      <c r="T92" s="591"/>
      <c r="U92" s="591"/>
      <c r="V92" s="641" t="s">
        <v>174</v>
      </c>
      <c r="W92" s="645" t="s">
        <v>375</v>
      </c>
      <c r="X92" s="643"/>
    </row>
    <row r="93" spans="1:24" s="644" customFormat="1" ht="120">
      <c r="A93" s="569">
        <v>52</v>
      </c>
      <c r="B93" s="640" t="s">
        <v>378</v>
      </c>
      <c r="C93" s="555" t="s">
        <v>45</v>
      </c>
      <c r="D93" s="555" t="s">
        <v>194</v>
      </c>
      <c r="E93" s="566">
        <f t="shared" si="9"/>
        <v>0.4</v>
      </c>
      <c r="F93" s="590">
        <v>0.4</v>
      </c>
      <c r="G93" s="563">
        <f t="shared" si="11"/>
        <v>0</v>
      </c>
      <c r="H93" s="563"/>
      <c r="I93" s="563"/>
      <c r="J93" s="563"/>
      <c r="K93" s="591"/>
      <c r="L93" s="591"/>
      <c r="M93" s="591"/>
      <c r="N93" s="591"/>
      <c r="O93" s="591"/>
      <c r="P93" s="591"/>
      <c r="Q93" s="591"/>
      <c r="R93" s="591"/>
      <c r="S93" s="591"/>
      <c r="T93" s="591"/>
      <c r="U93" s="591"/>
      <c r="V93" s="641" t="s">
        <v>170</v>
      </c>
      <c r="W93" s="645" t="s">
        <v>375</v>
      </c>
      <c r="X93" s="643"/>
    </row>
    <row r="94" spans="1:24" s="644" customFormat="1" ht="120">
      <c r="A94" s="569">
        <v>53</v>
      </c>
      <c r="B94" s="640" t="s">
        <v>377</v>
      </c>
      <c r="C94" s="555" t="s">
        <v>45</v>
      </c>
      <c r="D94" s="555" t="s">
        <v>196</v>
      </c>
      <c r="E94" s="566">
        <f t="shared" si="9"/>
        <v>0.5</v>
      </c>
      <c r="F94" s="590">
        <v>0.5</v>
      </c>
      <c r="G94" s="563">
        <f t="shared" si="11"/>
        <v>0</v>
      </c>
      <c r="H94" s="563"/>
      <c r="I94" s="563"/>
      <c r="J94" s="563"/>
      <c r="K94" s="591"/>
      <c r="L94" s="591"/>
      <c r="M94" s="591"/>
      <c r="N94" s="591"/>
      <c r="O94" s="591"/>
      <c r="P94" s="591"/>
      <c r="Q94" s="591"/>
      <c r="R94" s="591"/>
      <c r="S94" s="591"/>
      <c r="T94" s="591"/>
      <c r="U94" s="591"/>
      <c r="V94" s="641" t="s">
        <v>170</v>
      </c>
      <c r="W94" s="645" t="s">
        <v>375</v>
      </c>
      <c r="X94" s="643"/>
    </row>
    <row r="95" spans="1:24" s="644" customFormat="1" ht="120">
      <c r="A95" s="569">
        <v>54</v>
      </c>
      <c r="B95" s="640" t="s">
        <v>376</v>
      </c>
      <c r="C95" s="555" t="s">
        <v>45</v>
      </c>
      <c r="D95" s="555" t="s">
        <v>196</v>
      </c>
      <c r="E95" s="566">
        <f t="shared" si="9"/>
        <v>0.3</v>
      </c>
      <c r="F95" s="590">
        <v>0.3</v>
      </c>
      <c r="G95" s="563">
        <f t="shared" si="11"/>
        <v>0</v>
      </c>
      <c r="H95" s="563"/>
      <c r="I95" s="563"/>
      <c r="J95" s="563"/>
      <c r="K95" s="591"/>
      <c r="L95" s="591"/>
      <c r="M95" s="591"/>
      <c r="N95" s="591"/>
      <c r="O95" s="591"/>
      <c r="P95" s="591"/>
      <c r="Q95" s="591"/>
      <c r="R95" s="591"/>
      <c r="S95" s="591"/>
      <c r="T95" s="591"/>
      <c r="U95" s="591"/>
      <c r="V95" s="641" t="s">
        <v>169</v>
      </c>
      <c r="W95" s="645" t="s">
        <v>375</v>
      </c>
      <c r="X95" s="643"/>
    </row>
    <row r="96" spans="1:24" s="634" customFormat="1" ht="45">
      <c r="A96" s="569">
        <v>55</v>
      </c>
      <c r="B96" s="650" t="s">
        <v>244</v>
      </c>
      <c r="C96" s="651" t="s">
        <v>45</v>
      </c>
      <c r="D96" s="651" t="s">
        <v>232</v>
      </c>
      <c r="E96" s="652">
        <v>2.5</v>
      </c>
      <c r="F96" s="652">
        <v>2.5</v>
      </c>
      <c r="G96" s="563">
        <f t="shared" si="11"/>
        <v>0</v>
      </c>
      <c r="H96" s="597"/>
      <c r="I96" s="597"/>
      <c r="J96" s="597"/>
      <c r="K96" s="598"/>
      <c r="L96" s="598"/>
      <c r="M96" s="598"/>
      <c r="N96" s="598"/>
      <c r="O96" s="598"/>
      <c r="P96" s="598"/>
      <c r="Q96" s="598"/>
      <c r="R96" s="598"/>
      <c r="S96" s="598"/>
      <c r="T96" s="598"/>
      <c r="U96" s="598"/>
      <c r="V96" s="653" t="s">
        <v>168</v>
      </c>
      <c r="W96" s="654" t="s">
        <v>374</v>
      </c>
      <c r="X96" s="633"/>
    </row>
    <row r="97" spans="1:24" s="634" customFormat="1" ht="45">
      <c r="A97" s="569">
        <v>56</v>
      </c>
      <c r="B97" s="650" t="s">
        <v>245</v>
      </c>
      <c r="C97" s="655" t="s">
        <v>45</v>
      </c>
      <c r="D97" s="655" t="s">
        <v>206</v>
      </c>
      <c r="E97" s="652">
        <v>0.107</v>
      </c>
      <c r="F97" s="652">
        <v>0.11</v>
      </c>
      <c r="G97" s="563">
        <f t="shared" si="11"/>
        <v>0</v>
      </c>
      <c r="H97" s="597"/>
      <c r="I97" s="597"/>
      <c r="J97" s="597"/>
      <c r="K97" s="598"/>
      <c r="L97" s="598"/>
      <c r="M97" s="598"/>
      <c r="N97" s="598"/>
      <c r="O97" s="598"/>
      <c r="P97" s="598"/>
      <c r="Q97" s="598"/>
      <c r="R97" s="598"/>
      <c r="S97" s="598"/>
      <c r="T97" s="598"/>
      <c r="U97" s="598"/>
      <c r="V97" s="653" t="s">
        <v>168</v>
      </c>
      <c r="W97" s="654" t="s">
        <v>373</v>
      </c>
      <c r="X97" s="633"/>
    </row>
    <row r="98" spans="1:24" s="634" customFormat="1" ht="45">
      <c r="A98" s="569">
        <v>57</v>
      </c>
      <c r="B98" s="650" t="s">
        <v>372</v>
      </c>
      <c r="C98" s="651" t="s">
        <v>70</v>
      </c>
      <c r="D98" s="651" t="s">
        <v>70</v>
      </c>
      <c r="E98" s="652">
        <v>1.1000000000000001</v>
      </c>
      <c r="F98" s="652">
        <v>1.1000000000000001</v>
      </c>
      <c r="G98" s="563">
        <f t="shared" si="11"/>
        <v>0</v>
      </c>
      <c r="H98" s="597"/>
      <c r="I98" s="597"/>
      <c r="J98" s="597"/>
      <c r="K98" s="598"/>
      <c r="L98" s="598"/>
      <c r="M98" s="598"/>
      <c r="N98" s="598"/>
      <c r="O98" s="598"/>
      <c r="P98" s="598"/>
      <c r="Q98" s="598"/>
      <c r="R98" s="598"/>
      <c r="S98" s="598"/>
      <c r="T98" s="598"/>
      <c r="U98" s="598"/>
      <c r="V98" s="653" t="s">
        <v>168</v>
      </c>
      <c r="W98" s="654" t="s">
        <v>371</v>
      </c>
      <c r="X98" s="633"/>
    </row>
    <row r="99" spans="1:24" ht="123.75" customHeight="1">
      <c r="A99" s="569">
        <v>58</v>
      </c>
      <c r="B99" s="656" t="s">
        <v>370</v>
      </c>
      <c r="C99" s="555" t="s">
        <v>41</v>
      </c>
      <c r="D99" s="555" t="s">
        <v>41</v>
      </c>
      <c r="E99" s="566">
        <f>F99+G99</f>
        <v>3</v>
      </c>
      <c r="F99" s="590"/>
      <c r="G99" s="563">
        <f t="shared" si="11"/>
        <v>3</v>
      </c>
      <c r="H99" s="563"/>
      <c r="I99" s="563"/>
      <c r="J99" s="563">
        <v>3</v>
      </c>
      <c r="K99" s="591"/>
      <c r="L99" s="591"/>
      <c r="M99" s="591"/>
      <c r="N99" s="591"/>
      <c r="O99" s="591"/>
      <c r="P99" s="591"/>
      <c r="Q99" s="591"/>
      <c r="R99" s="591"/>
      <c r="S99" s="591"/>
      <c r="T99" s="591"/>
      <c r="U99" s="591"/>
      <c r="V99" s="592" t="s">
        <v>169</v>
      </c>
      <c r="W99" s="558" t="s">
        <v>369</v>
      </c>
    </row>
    <row r="100" spans="1:24" ht="45">
      <c r="A100" s="569">
        <v>59</v>
      </c>
      <c r="B100" s="601" t="s">
        <v>368</v>
      </c>
      <c r="C100" s="555" t="s">
        <v>41</v>
      </c>
      <c r="D100" s="555" t="s">
        <v>41</v>
      </c>
      <c r="E100" s="566">
        <f t="shared" ref="E100:E102" si="12">F100+G100</f>
        <v>5.57</v>
      </c>
      <c r="F100" s="590"/>
      <c r="G100" s="563">
        <f t="shared" si="11"/>
        <v>5.57</v>
      </c>
      <c r="H100" s="563"/>
      <c r="I100" s="563"/>
      <c r="J100" s="563">
        <v>2.5</v>
      </c>
      <c r="K100" s="591">
        <f>5.57-2.5</f>
        <v>3.0700000000000003</v>
      </c>
      <c r="L100" s="591"/>
      <c r="M100" s="591"/>
      <c r="N100" s="591"/>
      <c r="O100" s="591"/>
      <c r="P100" s="591"/>
      <c r="Q100" s="591"/>
      <c r="R100" s="591"/>
      <c r="S100" s="591"/>
      <c r="T100" s="591"/>
      <c r="U100" s="591"/>
      <c r="V100" s="622" t="s">
        <v>172</v>
      </c>
      <c r="W100" s="657" t="s">
        <v>367</v>
      </c>
    </row>
    <row r="101" spans="1:24" ht="75">
      <c r="A101" s="569">
        <v>60</v>
      </c>
      <c r="B101" s="656" t="s">
        <v>365</v>
      </c>
      <c r="C101" s="555" t="s">
        <v>45</v>
      </c>
      <c r="D101" s="555" t="s">
        <v>196</v>
      </c>
      <c r="E101" s="566">
        <f t="shared" si="12"/>
        <v>45</v>
      </c>
      <c r="F101" s="590">
        <f>25.3+1.5</f>
        <v>26.8</v>
      </c>
      <c r="G101" s="563">
        <f t="shared" si="11"/>
        <v>18.200000000000003</v>
      </c>
      <c r="H101" s="563"/>
      <c r="I101" s="563"/>
      <c r="J101" s="563">
        <v>2</v>
      </c>
      <c r="K101" s="591">
        <v>4</v>
      </c>
      <c r="L101" s="591"/>
      <c r="M101" s="591">
        <v>11</v>
      </c>
      <c r="N101" s="591"/>
      <c r="O101" s="591">
        <v>0.1</v>
      </c>
      <c r="P101" s="591"/>
      <c r="Q101" s="591"/>
      <c r="R101" s="591"/>
      <c r="S101" s="591">
        <v>0.1</v>
      </c>
      <c r="T101" s="591">
        <v>0.5</v>
      </c>
      <c r="U101" s="591">
        <v>0.5</v>
      </c>
      <c r="V101" s="592" t="s">
        <v>169</v>
      </c>
      <c r="W101" s="558" t="s">
        <v>364</v>
      </c>
    </row>
    <row r="102" spans="1:24" ht="45">
      <c r="A102" s="569">
        <v>61</v>
      </c>
      <c r="B102" s="656" t="s">
        <v>363</v>
      </c>
      <c r="C102" s="555" t="s">
        <v>45</v>
      </c>
      <c r="D102" s="555" t="s">
        <v>193</v>
      </c>
      <c r="E102" s="566">
        <f t="shared" si="12"/>
        <v>5.99</v>
      </c>
      <c r="F102" s="590"/>
      <c r="G102" s="563">
        <f t="shared" si="11"/>
        <v>5.99</v>
      </c>
      <c r="H102" s="563"/>
      <c r="I102" s="563"/>
      <c r="J102" s="563">
        <v>2.2999999999999998</v>
      </c>
      <c r="K102" s="591">
        <v>3.69</v>
      </c>
      <c r="L102" s="591"/>
      <c r="M102" s="591"/>
      <c r="N102" s="591"/>
      <c r="O102" s="591"/>
      <c r="P102" s="591"/>
      <c r="Q102" s="591"/>
      <c r="R102" s="591"/>
      <c r="S102" s="591"/>
      <c r="T102" s="591"/>
      <c r="U102" s="591"/>
      <c r="V102" s="592" t="s">
        <v>172</v>
      </c>
      <c r="W102" s="558" t="s">
        <v>362</v>
      </c>
    </row>
    <row r="103" spans="1:24" ht="30">
      <c r="A103" s="569">
        <v>62</v>
      </c>
      <c r="B103" s="656" t="s">
        <v>361</v>
      </c>
      <c r="C103" s="555" t="s">
        <v>37</v>
      </c>
      <c r="D103" s="555" t="s">
        <v>37</v>
      </c>
      <c r="E103" s="566">
        <v>25</v>
      </c>
      <c r="F103" s="590"/>
      <c r="G103" s="563">
        <f t="shared" si="11"/>
        <v>25</v>
      </c>
      <c r="H103" s="563"/>
      <c r="I103" s="563"/>
      <c r="J103" s="563">
        <v>5</v>
      </c>
      <c r="K103" s="591">
        <v>20</v>
      </c>
      <c r="L103" s="591"/>
      <c r="M103" s="591"/>
      <c r="N103" s="591"/>
      <c r="O103" s="591"/>
      <c r="P103" s="591"/>
      <c r="Q103" s="591"/>
      <c r="R103" s="591"/>
      <c r="S103" s="591"/>
      <c r="T103" s="591"/>
      <c r="U103" s="591"/>
      <c r="V103" s="592" t="s">
        <v>168</v>
      </c>
      <c r="W103" s="558" t="s">
        <v>360</v>
      </c>
    </row>
    <row r="104" spans="1:24" ht="45">
      <c r="A104" s="569">
        <v>63</v>
      </c>
      <c r="B104" s="656" t="s">
        <v>359</v>
      </c>
      <c r="C104" s="555" t="s">
        <v>45</v>
      </c>
      <c r="D104" s="555" t="s">
        <v>196</v>
      </c>
      <c r="E104" s="566">
        <f t="shared" ref="E104:E119" si="13">F104+G104</f>
        <v>0.17</v>
      </c>
      <c r="F104" s="590">
        <f>(200*8.5)/10000</f>
        <v>0.17</v>
      </c>
      <c r="G104" s="563">
        <f t="shared" si="11"/>
        <v>0</v>
      </c>
      <c r="H104" s="563"/>
      <c r="I104" s="563"/>
      <c r="J104" s="563"/>
      <c r="K104" s="591"/>
      <c r="L104" s="591"/>
      <c r="M104" s="591"/>
      <c r="N104" s="591"/>
      <c r="O104" s="591"/>
      <c r="P104" s="591"/>
      <c r="Q104" s="591"/>
      <c r="R104" s="591"/>
      <c r="S104" s="591"/>
      <c r="T104" s="591"/>
      <c r="U104" s="591"/>
      <c r="V104" s="592" t="s">
        <v>173</v>
      </c>
      <c r="W104" s="766" t="s">
        <v>358</v>
      </c>
    </row>
    <row r="105" spans="1:24" ht="45">
      <c r="A105" s="569">
        <v>64</v>
      </c>
      <c r="B105" s="656" t="s">
        <v>357</v>
      </c>
      <c r="C105" s="555" t="s">
        <v>45</v>
      </c>
      <c r="D105" s="555" t="s">
        <v>196</v>
      </c>
      <c r="E105" s="566">
        <f t="shared" si="13"/>
        <v>1.7</v>
      </c>
      <c r="F105" s="590">
        <f>(2000*8.5)/10000</f>
        <v>1.7</v>
      </c>
      <c r="G105" s="563">
        <f t="shared" si="11"/>
        <v>0</v>
      </c>
      <c r="H105" s="563"/>
      <c r="I105" s="563"/>
      <c r="J105" s="563"/>
      <c r="K105" s="591"/>
      <c r="L105" s="591"/>
      <c r="M105" s="591"/>
      <c r="N105" s="591"/>
      <c r="O105" s="591"/>
      <c r="P105" s="591"/>
      <c r="Q105" s="591"/>
      <c r="R105" s="591"/>
      <c r="S105" s="591"/>
      <c r="T105" s="591"/>
      <c r="U105" s="591"/>
      <c r="V105" s="592" t="s">
        <v>173</v>
      </c>
      <c r="W105" s="766"/>
    </row>
    <row r="106" spans="1:24" ht="45">
      <c r="A106" s="569">
        <v>65</v>
      </c>
      <c r="B106" s="656" t="s">
        <v>356</v>
      </c>
      <c r="C106" s="555" t="s">
        <v>45</v>
      </c>
      <c r="D106" s="555" t="s">
        <v>196</v>
      </c>
      <c r="E106" s="566">
        <f t="shared" si="13"/>
        <v>1.28</v>
      </c>
      <c r="F106" s="590">
        <v>1.28</v>
      </c>
      <c r="G106" s="563">
        <f t="shared" si="11"/>
        <v>0</v>
      </c>
      <c r="H106" s="563"/>
      <c r="I106" s="563"/>
      <c r="J106" s="563"/>
      <c r="K106" s="591"/>
      <c r="L106" s="591"/>
      <c r="M106" s="591"/>
      <c r="N106" s="591"/>
      <c r="O106" s="591"/>
      <c r="P106" s="591"/>
      <c r="Q106" s="591"/>
      <c r="R106" s="591"/>
      <c r="S106" s="591"/>
      <c r="T106" s="591"/>
      <c r="U106" s="591"/>
      <c r="V106" s="592" t="s">
        <v>173</v>
      </c>
      <c r="W106" s="766"/>
    </row>
    <row r="107" spans="1:24" ht="45">
      <c r="A107" s="569">
        <v>66</v>
      </c>
      <c r="B107" s="656" t="s">
        <v>355</v>
      </c>
      <c r="C107" s="555" t="s">
        <v>45</v>
      </c>
      <c r="D107" s="555" t="s">
        <v>194</v>
      </c>
      <c r="E107" s="566">
        <f t="shared" si="13"/>
        <v>7.0000000000000007E-2</v>
      </c>
      <c r="F107" s="590">
        <v>7.0000000000000007E-2</v>
      </c>
      <c r="G107" s="563">
        <f t="shared" si="11"/>
        <v>0</v>
      </c>
      <c r="H107" s="563"/>
      <c r="I107" s="563"/>
      <c r="J107" s="563"/>
      <c r="K107" s="591"/>
      <c r="L107" s="591"/>
      <c r="M107" s="591"/>
      <c r="N107" s="591"/>
      <c r="O107" s="591"/>
      <c r="P107" s="591"/>
      <c r="Q107" s="591"/>
      <c r="R107" s="591"/>
      <c r="S107" s="591"/>
      <c r="T107" s="591"/>
      <c r="U107" s="591"/>
      <c r="V107" s="592" t="s">
        <v>173</v>
      </c>
      <c r="W107" s="766"/>
    </row>
    <row r="108" spans="1:24" ht="45">
      <c r="A108" s="569">
        <v>67</v>
      </c>
      <c r="B108" s="656" t="s">
        <v>354</v>
      </c>
      <c r="C108" s="555" t="s">
        <v>45</v>
      </c>
      <c r="D108" s="555" t="s">
        <v>196</v>
      </c>
      <c r="E108" s="566">
        <f t="shared" si="13"/>
        <v>1.02</v>
      </c>
      <c r="F108" s="590">
        <v>1.02</v>
      </c>
      <c r="G108" s="563">
        <f t="shared" si="11"/>
        <v>0</v>
      </c>
      <c r="H108" s="563"/>
      <c r="I108" s="563"/>
      <c r="J108" s="563"/>
      <c r="K108" s="591"/>
      <c r="L108" s="591"/>
      <c r="M108" s="591"/>
      <c r="N108" s="591"/>
      <c r="O108" s="591"/>
      <c r="P108" s="591"/>
      <c r="Q108" s="591"/>
      <c r="R108" s="591"/>
      <c r="S108" s="591"/>
      <c r="T108" s="591"/>
      <c r="U108" s="591"/>
      <c r="V108" s="592" t="s">
        <v>173</v>
      </c>
      <c r="W108" s="766"/>
    </row>
    <row r="109" spans="1:24" ht="30">
      <c r="A109" s="569">
        <v>68</v>
      </c>
      <c r="B109" s="656" t="s">
        <v>353</v>
      </c>
      <c r="C109" s="555" t="s">
        <v>68</v>
      </c>
      <c r="D109" s="555" t="s">
        <v>68</v>
      </c>
      <c r="E109" s="566">
        <f t="shared" si="13"/>
        <v>0.01</v>
      </c>
      <c r="F109" s="590">
        <v>0.01</v>
      </c>
      <c r="G109" s="563">
        <f t="shared" si="11"/>
        <v>0</v>
      </c>
      <c r="H109" s="563"/>
      <c r="I109" s="563"/>
      <c r="J109" s="563"/>
      <c r="K109" s="591"/>
      <c r="L109" s="591"/>
      <c r="M109" s="591"/>
      <c r="N109" s="591"/>
      <c r="O109" s="591"/>
      <c r="P109" s="591"/>
      <c r="Q109" s="591"/>
      <c r="R109" s="591"/>
      <c r="S109" s="591"/>
      <c r="T109" s="591"/>
      <c r="U109" s="591"/>
      <c r="V109" s="592" t="s">
        <v>173</v>
      </c>
      <c r="W109" s="766"/>
    </row>
    <row r="110" spans="1:24">
      <c r="A110" s="569">
        <v>69</v>
      </c>
      <c r="B110" s="656" t="s">
        <v>352</v>
      </c>
      <c r="C110" s="555" t="s">
        <v>45</v>
      </c>
      <c r="D110" s="555" t="s">
        <v>64</v>
      </c>
      <c r="E110" s="566">
        <f t="shared" si="13"/>
        <v>4.5999999999999996</v>
      </c>
      <c r="F110" s="590"/>
      <c r="G110" s="563">
        <f t="shared" si="11"/>
        <v>4.5999999999999996</v>
      </c>
      <c r="H110" s="563"/>
      <c r="I110" s="563"/>
      <c r="J110" s="563">
        <v>4.5999999999999996</v>
      </c>
      <c r="K110" s="591"/>
      <c r="L110" s="591"/>
      <c r="M110" s="591"/>
      <c r="N110" s="591"/>
      <c r="O110" s="591"/>
      <c r="P110" s="591"/>
      <c r="Q110" s="591"/>
      <c r="R110" s="591"/>
      <c r="S110" s="591"/>
      <c r="T110" s="591"/>
      <c r="U110" s="591"/>
      <c r="V110" s="592" t="s">
        <v>169</v>
      </c>
      <c r="W110" s="558"/>
    </row>
    <row r="111" spans="1:24" ht="70.5" customHeight="1">
      <c r="A111" s="749">
        <v>70</v>
      </c>
      <c r="B111" s="761" t="s">
        <v>496</v>
      </c>
      <c r="C111" s="746" t="s">
        <v>45</v>
      </c>
      <c r="D111" s="746" t="s">
        <v>193</v>
      </c>
      <c r="E111" s="566">
        <f t="shared" si="13"/>
        <v>166.67999999999998</v>
      </c>
      <c r="F111" s="590">
        <v>161.47999999999999</v>
      </c>
      <c r="G111" s="563">
        <f t="shared" si="11"/>
        <v>5.2</v>
      </c>
      <c r="H111" s="563"/>
      <c r="I111" s="563"/>
      <c r="J111" s="563">
        <v>5.2</v>
      </c>
      <c r="K111" s="591"/>
      <c r="L111" s="591"/>
      <c r="M111" s="591"/>
      <c r="N111" s="591"/>
      <c r="O111" s="591"/>
      <c r="P111" s="591"/>
      <c r="Q111" s="591"/>
      <c r="R111" s="591"/>
      <c r="S111" s="591"/>
      <c r="T111" s="591"/>
      <c r="U111" s="591"/>
      <c r="V111" s="592" t="s">
        <v>174</v>
      </c>
      <c r="W111" s="767" t="s">
        <v>351</v>
      </c>
    </row>
    <row r="112" spans="1:24" ht="70.5" customHeight="1">
      <c r="A112" s="751"/>
      <c r="B112" s="762"/>
      <c r="C112" s="748"/>
      <c r="D112" s="748"/>
      <c r="E112" s="566">
        <f t="shared" si="13"/>
        <v>67</v>
      </c>
      <c r="F112" s="590">
        <v>67</v>
      </c>
      <c r="G112" s="563">
        <f t="shared" si="11"/>
        <v>0</v>
      </c>
      <c r="H112" s="563"/>
      <c r="I112" s="563"/>
      <c r="J112" s="563"/>
      <c r="K112" s="591"/>
      <c r="L112" s="591"/>
      <c r="M112" s="591"/>
      <c r="N112" s="591"/>
      <c r="O112" s="591"/>
      <c r="P112" s="591"/>
      <c r="Q112" s="591"/>
      <c r="R112" s="591"/>
      <c r="S112" s="591"/>
      <c r="T112" s="591"/>
      <c r="U112" s="591"/>
      <c r="V112" s="592" t="s">
        <v>189</v>
      </c>
      <c r="W112" s="768"/>
    </row>
    <row r="113" spans="1:23" s="667" customFormat="1" ht="30">
      <c r="A113" s="658"/>
      <c r="B113" s="659" t="s">
        <v>555</v>
      </c>
      <c r="C113" s="660"/>
      <c r="D113" s="660"/>
      <c r="E113" s="661"/>
      <c r="F113" s="662"/>
      <c r="G113" s="663"/>
      <c r="H113" s="663"/>
      <c r="I113" s="663"/>
      <c r="J113" s="663"/>
      <c r="K113" s="664"/>
      <c r="L113" s="664"/>
      <c r="M113" s="664"/>
      <c r="N113" s="664"/>
      <c r="O113" s="664"/>
      <c r="P113" s="664"/>
      <c r="Q113" s="664"/>
      <c r="R113" s="664"/>
      <c r="S113" s="664"/>
      <c r="T113" s="664"/>
      <c r="U113" s="664"/>
      <c r="V113" s="665"/>
      <c r="W113" s="666"/>
    </row>
    <row r="114" spans="1:23" ht="60">
      <c r="A114" s="646">
        <v>1</v>
      </c>
      <c r="B114" s="647" t="s">
        <v>410</v>
      </c>
      <c r="C114" s="648" t="s">
        <v>55</v>
      </c>
      <c r="D114" s="648" t="s">
        <v>55</v>
      </c>
      <c r="E114" s="566">
        <f t="shared" si="13"/>
        <v>1.5</v>
      </c>
      <c r="F114" s="590">
        <v>1.1399999999999999</v>
      </c>
      <c r="G114" s="563">
        <f t="shared" si="11"/>
        <v>0.36</v>
      </c>
      <c r="H114" s="563"/>
      <c r="I114" s="563"/>
      <c r="J114" s="563"/>
      <c r="K114" s="591">
        <v>0.36</v>
      </c>
      <c r="L114" s="591"/>
      <c r="M114" s="591"/>
      <c r="N114" s="591"/>
      <c r="O114" s="591"/>
      <c r="P114" s="591"/>
      <c r="Q114" s="591"/>
      <c r="R114" s="591"/>
      <c r="S114" s="591"/>
      <c r="T114" s="591"/>
      <c r="U114" s="591"/>
      <c r="V114" s="592" t="s">
        <v>168</v>
      </c>
      <c r="W114" s="649" t="s">
        <v>409</v>
      </c>
    </row>
    <row r="115" spans="1:23" ht="45">
      <c r="A115" s="646">
        <v>2</v>
      </c>
      <c r="B115" s="647" t="s">
        <v>241</v>
      </c>
      <c r="C115" s="648" t="s">
        <v>45</v>
      </c>
      <c r="D115" s="648" t="s">
        <v>196</v>
      </c>
      <c r="E115" s="566">
        <f t="shared" si="13"/>
        <v>0.5</v>
      </c>
      <c r="F115" s="590">
        <v>0.3</v>
      </c>
      <c r="G115" s="563">
        <f t="shared" si="11"/>
        <v>0.2</v>
      </c>
      <c r="H115" s="563"/>
      <c r="I115" s="563"/>
      <c r="J115" s="563"/>
      <c r="K115" s="591"/>
      <c r="L115" s="591"/>
      <c r="M115" s="591"/>
      <c r="N115" s="591"/>
      <c r="O115" s="591"/>
      <c r="P115" s="591"/>
      <c r="Q115" s="591"/>
      <c r="R115" s="591">
        <v>0.2</v>
      </c>
      <c r="S115" s="591"/>
      <c r="T115" s="591"/>
      <c r="U115" s="591"/>
      <c r="V115" s="592" t="s">
        <v>168</v>
      </c>
      <c r="W115" s="649" t="s">
        <v>551</v>
      </c>
    </row>
    <row r="116" spans="1:23" ht="60">
      <c r="A116" s="646">
        <v>3</v>
      </c>
      <c r="B116" s="647" t="s">
        <v>548</v>
      </c>
      <c r="C116" s="648" t="s">
        <v>57</v>
      </c>
      <c r="D116" s="648" t="s">
        <v>57</v>
      </c>
      <c r="E116" s="566">
        <f t="shared" si="13"/>
        <v>1</v>
      </c>
      <c r="F116" s="590">
        <v>1</v>
      </c>
      <c r="G116" s="563">
        <f t="shared" si="11"/>
        <v>0</v>
      </c>
      <c r="H116" s="563"/>
      <c r="I116" s="563"/>
      <c r="J116" s="563"/>
      <c r="K116" s="591"/>
      <c r="L116" s="591"/>
      <c r="M116" s="591"/>
      <c r="N116" s="591"/>
      <c r="O116" s="591"/>
      <c r="P116" s="591"/>
      <c r="Q116" s="591"/>
      <c r="R116" s="591"/>
      <c r="S116" s="591"/>
      <c r="T116" s="591"/>
      <c r="U116" s="591"/>
      <c r="V116" s="592" t="s">
        <v>168</v>
      </c>
      <c r="W116" s="649" t="s">
        <v>553</v>
      </c>
    </row>
    <row r="117" spans="1:23" ht="27.75" customHeight="1">
      <c r="A117" s="565">
        <v>4</v>
      </c>
      <c r="B117" s="579" t="s">
        <v>242</v>
      </c>
      <c r="C117" s="648" t="s">
        <v>70</v>
      </c>
      <c r="D117" s="648" t="s">
        <v>70</v>
      </c>
      <c r="E117" s="566">
        <f t="shared" si="13"/>
        <v>2.5</v>
      </c>
      <c r="F117" s="590">
        <v>2.5</v>
      </c>
      <c r="G117" s="563">
        <f t="shared" si="11"/>
        <v>0</v>
      </c>
      <c r="H117" s="563"/>
      <c r="I117" s="563"/>
      <c r="J117" s="563"/>
      <c r="K117" s="591"/>
      <c r="L117" s="591"/>
      <c r="M117" s="591"/>
      <c r="N117" s="591"/>
      <c r="O117" s="591"/>
      <c r="P117" s="591"/>
      <c r="Q117" s="591"/>
      <c r="R117" s="591"/>
      <c r="S117" s="591"/>
      <c r="T117" s="591"/>
      <c r="U117" s="591"/>
      <c r="V117" s="592" t="s">
        <v>168</v>
      </c>
      <c r="W117" s="668" t="s">
        <v>554</v>
      </c>
    </row>
    <row r="118" spans="1:23" ht="30">
      <c r="A118" s="646">
        <v>5</v>
      </c>
      <c r="B118" s="647" t="s">
        <v>549</v>
      </c>
      <c r="C118" s="648" t="s">
        <v>45</v>
      </c>
      <c r="D118" s="648" t="s">
        <v>192</v>
      </c>
      <c r="E118" s="566">
        <f t="shared" si="13"/>
        <v>0.4</v>
      </c>
      <c r="F118" s="590">
        <v>0.4</v>
      </c>
      <c r="G118" s="563">
        <f t="shared" si="11"/>
        <v>0</v>
      </c>
      <c r="H118" s="563"/>
      <c r="I118" s="563"/>
      <c r="J118" s="563"/>
      <c r="K118" s="591"/>
      <c r="L118" s="591"/>
      <c r="M118" s="591"/>
      <c r="N118" s="591"/>
      <c r="O118" s="591"/>
      <c r="P118" s="591"/>
      <c r="Q118" s="591"/>
      <c r="R118" s="591"/>
      <c r="S118" s="591"/>
      <c r="T118" s="591"/>
      <c r="U118" s="591"/>
      <c r="V118" s="592" t="s">
        <v>171</v>
      </c>
      <c r="W118" s="649"/>
    </row>
    <row r="119" spans="1:23" ht="45">
      <c r="A119" s="646">
        <v>6</v>
      </c>
      <c r="B119" s="647" t="s">
        <v>550</v>
      </c>
      <c r="C119" s="648" t="s">
        <v>45</v>
      </c>
      <c r="D119" s="648" t="s">
        <v>192</v>
      </c>
      <c r="E119" s="566">
        <f t="shared" si="13"/>
        <v>0.8</v>
      </c>
      <c r="F119" s="590">
        <v>0.8</v>
      </c>
      <c r="G119" s="563">
        <f t="shared" si="11"/>
        <v>0</v>
      </c>
      <c r="H119" s="563"/>
      <c r="I119" s="563"/>
      <c r="J119" s="563"/>
      <c r="K119" s="591"/>
      <c r="L119" s="591"/>
      <c r="M119" s="591"/>
      <c r="N119" s="591"/>
      <c r="O119" s="591"/>
      <c r="P119" s="591"/>
      <c r="Q119" s="591"/>
      <c r="R119" s="591"/>
      <c r="S119" s="591"/>
      <c r="T119" s="591"/>
      <c r="U119" s="591"/>
      <c r="V119" s="592" t="s">
        <v>170</v>
      </c>
      <c r="W119" s="649"/>
    </row>
    <row r="120" spans="1:23" s="667" customFormat="1" ht="30">
      <c r="A120" s="669" t="s">
        <v>311</v>
      </c>
      <c r="B120" s="670" t="s">
        <v>350</v>
      </c>
      <c r="C120" s="671"/>
      <c r="D120" s="671"/>
      <c r="E120" s="566"/>
      <c r="F120" s="662"/>
      <c r="G120" s="563">
        <f t="shared" si="11"/>
        <v>0</v>
      </c>
      <c r="H120" s="663"/>
      <c r="I120" s="663"/>
      <c r="J120" s="663"/>
      <c r="K120" s="664"/>
      <c r="L120" s="664"/>
      <c r="M120" s="664"/>
      <c r="N120" s="664"/>
      <c r="O120" s="664"/>
      <c r="P120" s="664"/>
      <c r="Q120" s="664"/>
      <c r="R120" s="664"/>
      <c r="S120" s="664"/>
      <c r="T120" s="664"/>
      <c r="U120" s="664"/>
      <c r="V120" s="665"/>
      <c r="W120" s="672"/>
    </row>
    <row r="121" spans="1:23" ht="30">
      <c r="A121" s="565">
        <v>1</v>
      </c>
      <c r="B121" s="656" t="s">
        <v>349</v>
      </c>
      <c r="C121" s="555" t="s">
        <v>55</v>
      </c>
      <c r="D121" s="555" t="s">
        <v>55</v>
      </c>
      <c r="E121" s="566">
        <f>F121+G121</f>
        <v>0.43</v>
      </c>
      <c r="F121" s="563"/>
      <c r="G121" s="563">
        <f t="shared" si="11"/>
        <v>0.43</v>
      </c>
      <c r="H121" s="563"/>
      <c r="I121" s="563"/>
      <c r="J121" s="563"/>
      <c r="K121" s="591">
        <v>0.43</v>
      </c>
      <c r="L121" s="591"/>
      <c r="M121" s="591"/>
      <c r="N121" s="591"/>
      <c r="O121" s="591"/>
      <c r="P121" s="591"/>
      <c r="Q121" s="591"/>
      <c r="R121" s="591"/>
      <c r="S121" s="591"/>
      <c r="T121" s="591"/>
      <c r="U121" s="591"/>
      <c r="V121" s="592" t="s">
        <v>168</v>
      </c>
      <c r="W121" s="558"/>
    </row>
    <row r="122" spans="1:23" ht="45">
      <c r="A122" s="565">
        <v>2</v>
      </c>
      <c r="B122" s="656" t="s">
        <v>474</v>
      </c>
      <c r="C122" s="555" t="s">
        <v>45</v>
      </c>
      <c r="D122" s="555" t="s">
        <v>192</v>
      </c>
      <c r="E122" s="566">
        <f>F122+G122</f>
        <v>0.05</v>
      </c>
      <c r="F122" s="563">
        <v>0.05</v>
      </c>
      <c r="G122" s="563">
        <f t="shared" si="11"/>
        <v>0</v>
      </c>
      <c r="H122" s="563"/>
      <c r="I122" s="563"/>
      <c r="J122" s="563"/>
      <c r="K122" s="591"/>
      <c r="L122" s="591"/>
      <c r="M122" s="591"/>
      <c r="N122" s="591"/>
      <c r="O122" s="591"/>
      <c r="P122" s="591"/>
      <c r="Q122" s="591"/>
      <c r="R122" s="591"/>
      <c r="S122" s="591"/>
      <c r="T122" s="591"/>
      <c r="U122" s="591"/>
      <c r="V122" s="592" t="s">
        <v>191</v>
      </c>
      <c r="W122" s="558" t="s">
        <v>556</v>
      </c>
    </row>
    <row r="123" spans="1:23" ht="45">
      <c r="A123" s="565">
        <v>3</v>
      </c>
      <c r="B123" s="656" t="s">
        <v>475</v>
      </c>
      <c r="C123" s="555" t="s">
        <v>45</v>
      </c>
      <c r="D123" s="555" t="s">
        <v>192</v>
      </c>
      <c r="E123" s="566">
        <f t="shared" ref="E123:E136" si="14">F123+G123</f>
        <v>1.2</v>
      </c>
      <c r="F123" s="563"/>
      <c r="G123" s="563">
        <f t="shared" si="11"/>
        <v>1.2</v>
      </c>
      <c r="H123" s="563"/>
      <c r="I123" s="563"/>
      <c r="J123" s="563">
        <v>0.5</v>
      </c>
      <c r="K123" s="591">
        <v>0.7</v>
      </c>
      <c r="L123" s="591"/>
      <c r="M123" s="591"/>
      <c r="N123" s="591"/>
      <c r="O123" s="591"/>
      <c r="P123" s="591"/>
      <c r="Q123" s="591"/>
      <c r="R123" s="591"/>
      <c r="S123" s="591"/>
      <c r="T123" s="591"/>
      <c r="U123" s="591"/>
      <c r="V123" s="592" t="s">
        <v>190</v>
      </c>
      <c r="W123" s="558" t="s">
        <v>556</v>
      </c>
    </row>
    <row r="124" spans="1:23" ht="45">
      <c r="A124" s="565">
        <v>4</v>
      </c>
      <c r="B124" s="656" t="s">
        <v>476</v>
      </c>
      <c r="C124" s="555" t="s">
        <v>55</v>
      </c>
      <c r="D124" s="555" t="s">
        <v>55</v>
      </c>
      <c r="E124" s="566">
        <f t="shared" si="14"/>
        <v>1.3</v>
      </c>
      <c r="F124" s="563">
        <v>1.3</v>
      </c>
      <c r="G124" s="563">
        <f t="shared" si="11"/>
        <v>0</v>
      </c>
      <c r="H124" s="563"/>
      <c r="I124" s="563"/>
      <c r="J124" s="563"/>
      <c r="K124" s="591"/>
      <c r="L124" s="591"/>
      <c r="M124" s="591"/>
      <c r="N124" s="591"/>
      <c r="O124" s="591"/>
      <c r="P124" s="591"/>
      <c r="Q124" s="591"/>
      <c r="R124" s="591"/>
      <c r="S124" s="591"/>
      <c r="T124" s="591"/>
      <c r="U124" s="591"/>
      <c r="V124" s="592" t="s">
        <v>168</v>
      </c>
      <c r="W124" s="558" t="s">
        <v>556</v>
      </c>
    </row>
    <row r="125" spans="1:23" ht="59.25" customHeight="1">
      <c r="A125" s="565">
        <v>5</v>
      </c>
      <c r="B125" s="656" t="s">
        <v>477</v>
      </c>
      <c r="C125" s="555" t="s">
        <v>57</v>
      </c>
      <c r="D125" s="555" t="s">
        <v>57</v>
      </c>
      <c r="E125" s="566">
        <f t="shared" si="14"/>
        <v>0.5</v>
      </c>
      <c r="F125" s="563">
        <v>0.5</v>
      </c>
      <c r="G125" s="563">
        <f t="shared" si="11"/>
        <v>0</v>
      </c>
      <c r="H125" s="563"/>
      <c r="I125" s="563"/>
      <c r="J125" s="563"/>
      <c r="K125" s="591"/>
      <c r="L125" s="591"/>
      <c r="M125" s="591"/>
      <c r="N125" s="591"/>
      <c r="O125" s="591"/>
      <c r="P125" s="591"/>
      <c r="Q125" s="591"/>
      <c r="R125" s="591"/>
      <c r="S125" s="591"/>
      <c r="T125" s="591"/>
      <c r="U125" s="591"/>
      <c r="V125" s="592" t="s">
        <v>168</v>
      </c>
      <c r="W125" s="558" t="s">
        <v>556</v>
      </c>
    </row>
    <row r="126" spans="1:23" ht="60">
      <c r="A126" s="565">
        <v>6</v>
      </c>
      <c r="B126" s="656" t="s">
        <v>478</v>
      </c>
      <c r="C126" s="555" t="s">
        <v>45</v>
      </c>
      <c r="D126" s="555" t="s">
        <v>196</v>
      </c>
      <c r="E126" s="566">
        <f t="shared" si="14"/>
        <v>1</v>
      </c>
      <c r="F126" s="563">
        <v>0.7</v>
      </c>
      <c r="G126" s="563">
        <f t="shared" si="11"/>
        <v>0.3</v>
      </c>
      <c r="H126" s="563"/>
      <c r="I126" s="563"/>
      <c r="J126" s="563"/>
      <c r="K126" s="591"/>
      <c r="L126" s="591"/>
      <c r="M126" s="591"/>
      <c r="N126" s="591"/>
      <c r="O126" s="591"/>
      <c r="P126" s="591"/>
      <c r="Q126" s="591"/>
      <c r="R126" s="591">
        <v>0.3</v>
      </c>
      <c r="S126" s="591"/>
      <c r="T126" s="591"/>
      <c r="U126" s="591"/>
      <c r="V126" s="592" t="s">
        <v>168</v>
      </c>
      <c r="W126" s="558" t="s">
        <v>484</v>
      </c>
    </row>
    <row r="127" spans="1:23" ht="90">
      <c r="A127" s="565">
        <v>7</v>
      </c>
      <c r="B127" s="656" t="s">
        <v>479</v>
      </c>
      <c r="C127" s="555" t="s">
        <v>45</v>
      </c>
      <c r="D127" s="555" t="s">
        <v>196</v>
      </c>
      <c r="E127" s="566">
        <f t="shared" si="14"/>
        <v>0.5</v>
      </c>
      <c r="F127" s="563">
        <v>0.5</v>
      </c>
      <c r="G127" s="563">
        <f t="shared" si="11"/>
        <v>0</v>
      </c>
      <c r="H127" s="563"/>
      <c r="I127" s="563"/>
      <c r="J127" s="563"/>
      <c r="K127" s="591"/>
      <c r="L127" s="591"/>
      <c r="M127" s="591"/>
      <c r="N127" s="591"/>
      <c r="O127" s="591"/>
      <c r="P127" s="591"/>
      <c r="Q127" s="591"/>
      <c r="R127" s="591"/>
      <c r="S127" s="591"/>
      <c r="T127" s="591"/>
      <c r="U127" s="591"/>
      <c r="V127" s="592" t="s">
        <v>168</v>
      </c>
      <c r="W127" s="558"/>
    </row>
    <row r="128" spans="1:23" ht="90">
      <c r="A128" s="565">
        <v>8</v>
      </c>
      <c r="B128" s="656" t="s">
        <v>480</v>
      </c>
      <c r="C128" s="555" t="s">
        <v>45</v>
      </c>
      <c r="D128" s="555" t="s">
        <v>196</v>
      </c>
      <c r="E128" s="566">
        <f t="shared" si="14"/>
        <v>0.5</v>
      </c>
      <c r="F128" s="563">
        <v>0.5</v>
      </c>
      <c r="G128" s="563">
        <f t="shared" si="11"/>
        <v>0</v>
      </c>
      <c r="H128" s="563"/>
      <c r="I128" s="563"/>
      <c r="J128" s="563"/>
      <c r="K128" s="591"/>
      <c r="L128" s="591"/>
      <c r="M128" s="591"/>
      <c r="N128" s="591"/>
      <c r="O128" s="591"/>
      <c r="P128" s="591"/>
      <c r="Q128" s="591"/>
      <c r="R128" s="591"/>
      <c r="S128" s="591"/>
      <c r="T128" s="591"/>
      <c r="U128" s="591"/>
      <c r="V128" s="592" t="s">
        <v>168</v>
      </c>
      <c r="W128" s="558"/>
    </row>
    <row r="129" spans="1:23" ht="30">
      <c r="A129" s="565">
        <v>9</v>
      </c>
      <c r="B129" s="656" t="s">
        <v>481</v>
      </c>
      <c r="C129" s="555" t="s">
        <v>45</v>
      </c>
      <c r="D129" s="555" t="s">
        <v>196</v>
      </c>
      <c r="E129" s="566">
        <f t="shared" si="14"/>
        <v>1</v>
      </c>
      <c r="F129" s="563">
        <v>1</v>
      </c>
      <c r="G129" s="563">
        <f t="shared" si="11"/>
        <v>0</v>
      </c>
      <c r="H129" s="563"/>
      <c r="I129" s="563"/>
      <c r="J129" s="563"/>
      <c r="K129" s="591"/>
      <c r="L129" s="591"/>
      <c r="M129" s="591"/>
      <c r="N129" s="591"/>
      <c r="O129" s="591"/>
      <c r="P129" s="591"/>
      <c r="Q129" s="591"/>
      <c r="R129" s="591"/>
      <c r="S129" s="591"/>
      <c r="T129" s="591"/>
      <c r="U129" s="591"/>
      <c r="V129" s="592" t="s">
        <v>191</v>
      </c>
      <c r="W129" s="558"/>
    </row>
    <row r="130" spans="1:23">
      <c r="A130" s="565">
        <v>10</v>
      </c>
      <c r="B130" s="656" t="s">
        <v>482</v>
      </c>
      <c r="C130" s="555" t="s">
        <v>45</v>
      </c>
      <c r="D130" s="555" t="s">
        <v>196</v>
      </c>
      <c r="E130" s="566">
        <f t="shared" si="14"/>
        <v>0.01</v>
      </c>
      <c r="F130" s="563">
        <v>0.01</v>
      </c>
      <c r="G130" s="563">
        <f t="shared" si="11"/>
        <v>0</v>
      </c>
      <c r="H130" s="563"/>
      <c r="I130" s="563"/>
      <c r="J130" s="563"/>
      <c r="K130" s="591"/>
      <c r="L130" s="591"/>
      <c r="M130" s="591"/>
      <c r="N130" s="591"/>
      <c r="O130" s="591"/>
      <c r="P130" s="591"/>
      <c r="Q130" s="591"/>
      <c r="R130" s="591"/>
      <c r="S130" s="591"/>
      <c r="T130" s="591"/>
      <c r="U130" s="591"/>
      <c r="V130" s="592" t="s">
        <v>170</v>
      </c>
      <c r="W130" s="558"/>
    </row>
    <row r="131" spans="1:23" ht="60">
      <c r="A131" s="565">
        <v>11</v>
      </c>
      <c r="B131" s="656" t="s">
        <v>483</v>
      </c>
      <c r="C131" s="555" t="s">
        <v>45</v>
      </c>
      <c r="D131" s="555" t="s">
        <v>196</v>
      </c>
      <c r="E131" s="566">
        <f t="shared" si="14"/>
        <v>0.05</v>
      </c>
      <c r="F131" s="563">
        <v>0.05</v>
      </c>
      <c r="G131" s="563">
        <f t="shared" si="11"/>
        <v>0</v>
      </c>
      <c r="H131" s="563"/>
      <c r="I131" s="563"/>
      <c r="J131" s="563"/>
      <c r="K131" s="591"/>
      <c r="L131" s="591"/>
      <c r="M131" s="591"/>
      <c r="N131" s="591"/>
      <c r="O131" s="591"/>
      <c r="P131" s="591"/>
      <c r="Q131" s="591"/>
      <c r="R131" s="591"/>
      <c r="S131" s="591"/>
      <c r="T131" s="591"/>
      <c r="U131" s="591"/>
      <c r="V131" s="592" t="s">
        <v>169</v>
      </c>
      <c r="W131" s="558"/>
    </row>
    <row r="132" spans="1:23">
      <c r="A132" s="749">
        <v>12</v>
      </c>
      <c r="B132" s="758" t="s">
        <v>485</v>
      </c>
      <c r="C132" s="555" t="s">
        <v>53</v>
      </c>
      <c r="D132" s="555" t="s">
        <v>53</v>
      </c>
      <c r="E132" s="566">
        <f t="shared" si="14"/>
        <v>3.5</v>
      </c>
      <c r="F132" s="563"/>
      <c r="G132" s="563">
        <f t="shared" si="11"/>
        <v>3.5</v>
      </c>
      <c r="H132" s="563"/>
      <c r="I132" s="563"/>
      <c r="J132" s="563">
        <v>2</v>
      </c>
      <c r="K132" s="591">
        <v>1.5</v>
      </c>
      <c r="L132" s="591"/>
      <c r="M132" s="591"/>
      <c r="N132" s="591"/>
      <c r="O132" s="591"/>
      <c r="P132" s="591"/>
      <c r="Q132" s="591"/>
      <c r="R132" s="591"/>
      <c r="S132" s="591"/>
      <c r="T132" s="591"/>
      <c r="U132" s="591"/>
      <c r="V132" s="592" t="s">
        <v>172</v>
      </c>
      <c r="W132" s="749" t="s">
        <v>486</v>
      </c>
    </row>
    <row r="133" spans="1:23">
      <c r="A133" s="751"/>
      <c r="B133" s="759"/>
      <c r="C133" s="555" t="s">
        <v>45</v>
      </c>
      <c r="D133" s="555" t="s">
        <v>196</v>
      </c>
      <c r="E133" s="566">
        <f t="shared" si="14"/>
        <v>0.7</v>
      </c>
      <c r="F133" s="563"/>
      <c r="G133" s="563">
        <f t="shared" si="11"/>
        <v>0.7</v>
      </c>
      <c r="H133" s="563"/>
      <c r="I133" s="563"/>
      <c r="J133" s="563">
        <v>0.5</v>
      </c>
      <c r="K133" s="591">
        <v>0.2</v>
      </c>
      <c r="L133" s="591"/>
      <c r="M133" s="591"/>
      <c r="N133" s="591"/>
      <c r="O133" s="591"/>
      <c r="P133" s="591"/>
      <c r="Q133" s="591"/>
      <c r="R133" s="591"/>
      <c r="S133" s="591"/>
      <c r="T133" s="591"/>
      <c r="U133" s="591"/>
      <c r="V133" s="592" t="s">
        <v>172</v>
      </c>
      <c r="W133" s="751"/>
    </row>
    <row r="134" spans="1:23" ht="30" customHeight="1">
      <c r="A134" s="749">
        <v>13</v>
      </c>
      <c r="B134" s="761" t="s">
        <v>487</v>
      </c>
      <c r="C134" s="555" t="s">
        <v>53</v>
      </c>
      <c r="D134" s="555" t="s">
        <v>53</v>
      </c>
      <c r="E134" s="566">
        <f t="shared" si="14"/>
        <v>5</v>
      </c>
      <c r="F134" s="563"/>
      <c r="G134" s="563">
        <f t="shared" si="11"/>
        <v>5</v>
      </c>
      <c r="H134" s="563"/>
      <c r="I134" s="563"/>
      <c r="J134" s="563">
        <v>2</v>
      </c>
      <c r="K134" s="591">
        <v>3</v>
      </c>
      <c r="L134" s="591"/>
      <c r="M134" s="591"/>
      <c r="N134" s="591"/>
      <c r="O134" s="591"/>
      <c r="P134" s="591"/>
      <c r="Q134" s="591"/>
      <c r="R134" s="591"/>
      <c r="S134" s="591"/>
      <c r="T134" s="591"/>
      <c r="U134" s="591"/>
      <c r="V134" s="592" t="s">
        <v>169</v>
      </c>
      <c r="W134" s="749" t="s">
        <v>486</v>
      </c>
    </row>
    <row r="135" spans="1:23" ht="15" customHeight="1">
      <c r="A135" s="751"/>
      <c r="B135" s="762"/>
      <c r="C135" s="555" t="s">
        <v>45</v>
      </c>
      <c r="D135" s="555" t="s">
        <v>196</v>
      </c>
      <c r="E135" s="566">
        <f t="shared" si="14"/>
        <v>0</v>
      </c>
      <c r="F135" s="563"/>
      <c r="G135" s="563">
        <f t="shared" si="11"/>
        <v>0</v>
      </c>
      <c r="H135" s="563"/>
      <c r="I135" s="563"/>
      <c r="J135" s="563"/>
      <c r="K135" s="591"/>
      <c r="L135" s="591"/>
      <c r="M135" s="591"/>
      <c r="N135" s="591"/>
      <c r="O135" s="591"/>
      <c r="P135" s="591"/>
      <c r="Q135" s="591"/>
      <c r="R135" s="591"/>
      <c r="S135" s="591"/>
      <c r="T135" s="591"/>
      <c r="U135" s="591"/>
      <c r="V135" s="592" t="s">
        <v>169</v>
      </c>
      <c r="W135" s="751"/>
    </row>
    <row r="136" spans="1:23" ht="45">
      <c r="A136" s="565">
        <v>14</v>
      </c>
      <c r="B136" s="656" t="s">
        <v>488</v>
      </c>
      <c r="C136" s="555" t="s">
        <v>45</v>
      </c>
      <c r="D136" s="555" t="s">
        <v>196</v>
      </c>
      <c r="E136" s="566">
        <f t="shared" si="14"/>
        <v>22</v>
      </c>
      <c r="F136" s="563"/>
      <c r="G136" s="563">
        <f t="shared" si="11"/>
        <v>22</v>
      </c>
      <c r="H136" s="563"/>
      <c r="I136" s="563"/>
      <c r="J136" s="563"/>
      <c r="K136" s="591"/>
      <c r="L136" s="591">
        <v>22</v>
      </c>
      <c r="M136" s="591"/>
      <c r="N136" s="591"/>
      <c r="O136" s="591"/>
      <c r="P136" s="591"/>
      <c r="Q136" s="591"/>
      <c r="R136" s="591"/>
      <c r="S136" s="591"/>
      <c r="T136" s="591"/>
      <c r="U136" s="591"/>
      <c r="V136" s="592" t="s">
        <v>170</v>
      </c>
      <c r="W136" s="558" t="s">
        <v>489</v>
      </c>
    </row>
    <row r="137" spans="1:23" ht="60" customHeight="1">
      <c r="A137" s="749">
        <v>15</v>
      </c>
      <c r="B137" s="758" t="s">
        <v>490</v>
      </c>
      <c r="C137" s="555" t="s">
        <v>45</v>
      </c>
      <c r="D137" s="555" t="s">
        <v>194</v>
      </c>
      <c r="E137" s="566">
        <f t="shared" ref="E137:E140" si="15">F137+G137</f>
        <v>15</v>
      </c>
      <c r="F137" s="563"/>
      <c r="G137" s="563">
        <f>H137+SUM(J137:U137)</f>
        <v>15</v>
      </c>
      <c r="H137" s="563">
        <v>3.5</v>
      </c>
      <c r="I137" s="563">
        <v>2</v>
      </c>
      <c r="J137" s="563">
        <v>3.5</v>
      </c>
      <c r="K137" s="591">
        <v>3</v>
      </c>
      <c r="L137" s="591"/>
      <c r="M137" s="591"/>
      <c r="N137" s="591"/>
      <c r="O137" s="591"/>
      <c r="P137" s="591"/>
      <c r="Q137" s="591"/>
      <c r="R137" s="591"/>
      <c r="S137" s="591"/>
      <c r="T137" s="591">
        <v>5</v>
      </c>
      <c r="U137" s="591"/>
      <c r="V137" s="592" t="s">
        <v>197</v>
      </c>
      <c r="W137" s="749" t="s">
        <v>491</v>
      </c>
    </row>
    <row r="138" spans="1:23">
      <c r="A138" s="751"/>
      <c r="B138" s="759"/>
      <c r="C138" s="555" t="s">
        <v>45</v>
      </c>
      <c r="D138" s="555" t="s">
        <v>194</v>
      </c>
      <c r="E138" s="566">
        <f t="shared" si="15"/>
        <v>3</v>
      </c>
      <c r="F138" s="563"/>
      <c r="G138" s="563">
        <f t="shared" ref="G138:G140" si="16">H138+SUM(J138:U138)</f>
        <v>3</v>
      </c>
      <c r="H138" s="563">
        <v>0.5</v>
      </c>
      <c r="I138" s="563"/>
      <c r="J138" s="563">
        <v>0.5</v>
      </c>
      <c r="K138" s="591">
        <v>0.5</v>
      </c>
      <c r="L138" s="591"/>
      <c r="M138" s="591"/>
      <c r="N138" s="591"/>
      <c r="O138" s="591"/>
      <c r="P138" s="591"/>
      <c r="Q138" s="591"/>
      <c r="R138" s="591"/>
      <c r="S138" s="591"/>
      <c r="T138" s="591">
        <v>1.5</v>
      </c>
      <c r="U138" s="591"/>
      <c r="V138" s="592" t="s">
        <v>171</v>
      </c>
      <c r="W138" s="751"/>
    </row>
    <row r="139" spans="1:23" ht="45">
      <c r="A139" s="565">
        <v>16</v>
      </c>
      <c r="B139" s="656" t="s">
        <v>493</v>
      </c>
      <c r="C139" s="555" t="s">
        <v>45</v>
      </c>
      <c r="D139" s="555" t="s">
        <v>194</v>
      </c>
      <c r="E139" s="566">
        <f t="shared" si="15"/>
        <v>50</v>
      </c>
      <c r="F139" s="563">
        <v>20</v>
      </c>
      <c r="G139" s="563">
        <f t="shared" si="16"/>
        <v>30</v>
      </c>
      <c r="H139" s="563">
        <v>0.5</v>
      </c>
      <c r="I139" s="563">
        <v>0.5</v>
      </c>
      <c r="J139" s="563">
        <v>11.5</v>
      </c>
      <c r="K139" s="591">
        <v>18</v>
      </c>
      <c r="L139" s="591"/>
      <c r="M139" s="591"/>
      <c r="N139" s="591"/>
      <c r="O139" s="591"/>
      <c r="P139" s="591"/>
      <c r="Q139" s="591"/>
      <c r="R139" s="591"/>
      <c r="S139" s="591"/>
      <c r="T139" s="591"/>
      <c r="U139" s="591"/>
      <c r="V139" s="592" t="s">
        <v>170</v>
      </c>
      <c r="W139" s="558" t="s">
        <v>494</v>
      </c>
    </row>
    <row r="140" spans="1:23" ht="45">
      <c r="A140" s="565">
        <v>17</v>
      </c>
      <c r="B140" s="656" t="s">
        <v>495</v>
      </c>
      <c r="C140" s="555" t="s">
        <v>45</v>
      </c>
      <c r="D140" s="555" t="s">
        <v>194</v>
      </c>
      <c r="E140" s="566">
        <f t="shared" si="15"/>
        <v>10</v>
      </c>
      <c r="F140" s="563"/>
      <c r="G140" s="563">
        <f t="shared" si="16"/>
        <v>10</v>
      </c>
      <c r="H140" s="563"/>
      <c r="I140" s="563"/>
      <c r="J140" s="563">
        <v>3</v>
      </c>
      <c r="K140" s="591">
        <v>3</v>
      </c>
      <c r="L140" s="591"/>
      <c r="M140" s="591"/>
      <c r="N140" s="591"/>
      <c r="O140" s="591"/>
      <c r="P140" s="591"/>
      <c r="Q140" s="591"/>
      <c r="R140" s="591"/>
      <c r="S140" s="591"/>
      <c r="T140" s="591">
        <v>4</v>
      </c>
      <c r="U140" s="591"/>
      <c r="V140" s="592" t="s">
        <v>197</v>
      </c>
      <c r="W140" s="558" t="s">
        <v>494</v>
      </c>
    </row>
    <row r="141" spans="1:23" ht="45">
      <c r="A141" s="565">
        <v>18</v>
      </c>
      <c r="B141" s="558" t="s">
        <v>348</v>
      </c>
      <c r="C141" s="555" t="s">
        <v>55</v>
      </c>
      <c r="D141" s="555" t="s">
        <v>55</v>
      </c>
      <c r="E141" s="566">
        <f>F141+G141</f>
        <v>0.4</v>
      </c>
      <c r="F141" s="563"/>
      <c r="G141" s="563">
        <f>SUM(H141:U141)</f>
        <v>0.4</v>
      </c>
      <c r="H141" s="563"/>
      <c r="I141" s="563"/>
      <c r="J141" s="567">
        <v>0.2</v>
      </c>
      <c r="K141" s="567">
        <v>0.2</v>
      </c>
      <c r="L141" s="567"/>
      <c r="M141" s="567"/>
      <c r="N141" s="567"/>
      <c r="O141" s="567"/>
      <c r="P141" s="567"/>
      <c r="Q141" s="567"/>
      <c r="R141" s="567"/>
      <c r="S141" s="567"/>
      <c r="T141" s="567"/>
      <c r="U141" s="567"/>
      <c r="V141" s="568" t="s">
        <v>168</v>
      </c>
      <c r="W141" s="673"/>
    </row>
    <row r="142" spans="1:23" ht="45">
      <c r="A142" s="565">
        <v>19</v>
      </c>
      <c r="B142" s="558" t="s">
        <v>544</v>
      </c>
      <c r="C142" s="555" t="s">
        <v>53</v>
      </c>
      <c r="D142" s="555" t="s">
        <v>53</v>
      </c>
      <c r="E142" s="566">
        <f>F142+G142</f>
        <v>3</v>
      </c>
      <c r="F142" s="563"/>
      <c r="G142" s="563">
        <f>SUM(H142:U142)</f>
        <v>3</v>
      </c>
      <c r="H142" s="563"/>
      <c r="I142" s="563"/>
      <c r="J142" s="567">
        <v>1.2</v>
      </c>
      <c r="K142" s="567">
        <v>1.8</v>
      </c>
      <c r="L142" s="567"/>
      <c r="M142" s="567"/>
      <c r="N142" s="567"/>
      <c r="O142" s="567"/>
      <c r="P142" s="567"/>
      <c r="Q142" s="567"/>
      <c r="R142" s="567"/>
      <c r="S142" s="567"/>
      <c r="T142" s="567"/>
      <c r="U142" s="567"/>
      <c r="V142" s="568" t="s">
        <v>190</v>
      </c>
      <c r="W142" s="756" t="s">
        <v>546</v>
      </c>
    </row>
    <row r="143" spans="1:23" ht="60">
      <c r="A143" s="565">
        <v>20</v>
      </c>
      <c r="B143" s="558" t="s">
        <v>545</v>
      </c>
      <c r="C143" s="555" t="s">
        <v>53</v>
      </c>
      <c r="D143" s="555" t="s">
        <v>53</v>
      </c>
      <c r="E143" s="566">
        <f>F143+G143</f>
        <v>4</v>
      </c>
      <c r="F143" s="563"/>
      <c r="G143" s="563">
        <f>SUM(H143:U143)</f>
        <v>4</v>
      </c>
      <c r="H143" s="563"/>
      <c r="I143" s="563"/>
      <c r="J143" s="567">
        <v>1.5</v>
      </c>
      <c r="K143" s="567">
        <v>2.5</v>
      </c>
      <c r="L143" s="567"/>
      <c r="M143" s="567"/>
      <c r="N143" s="567"/>
      <c r="O143" s="567"/>
      <c r="P143" s="567"/>
      <c r="Q143" s="567"/>
      <c r="R143" s="567"/>
      <c r="S143" s="567"/>
      <c r="T143" s="567"/>
      <c r="U143" s="567"/>
      <c r="V143" s="568" t="s">
        <v>169</v>
      </c>
      <c r="W143" s="757"/>
    </row>
    <row r="144" spans="1:23" ht="60">
      <c r="A144" s="565">
        <v>21</v>
      </c>
      <c r="B144" s="558" t="s">
        <v>557</v>
      </c>
      <c r="C144" s="555" t="s">
        <v>45</v>
      </c>
      <c r="D144" s="555" t="s">
        <v>196</v>
      </c>
      <c r="E144" s="566">
        <f t="shared" ref="E144:E153" si="17">F144+G144</f>
        <v>20.000000000000004</v>
      </c>
      <c r="F144" s="563"/>
      <c r="G144" s="563">
        <f>SUM(H144:U144)-I144</f>
        <v>20.000000000000004</v>
      </c>
      <c r="H144" s="563">
        <v>2.2000000000000002</v>
      </c>
      <c r="I144" s="563">
        <v>2.2000000000000002</v>
      </c>
      <c r="J144" s="567">
        <v>3</v>
      </c>
      <c r="K144" s="567">
        <v>13.8</v>
      </c>
      <c r="L144" s="567"/>
      <c r="M144" s="567"/>
      <c r="N144" s="567"/>
      <c r="O144" s="567"/>
      <c r="P144" s="567"/>
      <c r="Q144" s="567"/>
      <c r="R144" s="567">
        <v>1</v>
      </c>
      <c r="S144" s="567"/>
      <c r="T144" s="567"/>
      <c r="U144" s="567"/>
      <c r="V144" s="568" t="s">
        <v>168</v>
      </c>
      <c r="W144" s="569" t="s">
        <v>567</v>
      </c>
    </row>
    <row r="145" spans="1:23" ht="60">
      <c r="A145" s="565">
        <v>22</v>
      </c>
      <c r="B145" s="558" t="s">
        <v>559</v>
      </c>
      <c r="C145" s="555" t="s">
        <v>45</v>
      </c>
      <c r="D145" s="555" t="s">
        <v>192</v>
      </c>
      <c r="E145" s="566">
        <f t="shared" si="17"/>
        <v>0.1</v>
      </c>
      <c r="F145" s="563">
        <v>0.1</v>
      </c>
      <c r="G145" s="563">
        <f t="shared" ref="G145:G153" si="18">SUM(H145:U145)</f>
        <v>0</v>
      </c>
      <c r="H145" s="563"/>
      <c r="I145" s="563"/>
      <c r="J145" s="567"/>
      <c r="K145" s="567"/>
      <c r="L145" s="567"/>
      <c r="M145" s="567"/>
      <c r="N145" s="567"/>
      <c r="O145" s="567"/>
      <c r="P145" s="567"/>
      <c r="Q145" s="567"/>
      <c r="R145" s="567"/>
      <c r="S145" s="567"/>
      <c r="T145" s="567"/>
      <c r="U145" s="567"/>
      <c r="V145" s="568" t="s">
        <v>197</v>
      </c>
      <c r="W145" s="569" t="s">
        <v>556</v>
      </c>
    </row>
    <row r="146" spans="1:23" ht="45">
      <c r="A146" s="565">
        <v>23</v>
      </c>
      <c r="B146" s="558" t="s">
        <v>560</v>
      </c>
      <c r="C146" s="555" t="s">
        <v>45</v>
      </c>
      <c r="D146" s="555" t="s">
        <v>192</v>
      </c>
      <c r="E146" s="566">
        <f t="shared" si="17"/>
        <v>0.5</v>
      </c>
      <c r="F146" s="563">
        <v>0.5</v>
      </c>
      <c r="G146" s="563">
        <f t="shared" si="18"/>
        <v>0</v>
      </c>
      <c r="H146" s="563"/>
      <c r="I146" s="563"/>
      <c r="J146" s="567"/>
      <c r="K146" s="567"/>
      <c r="L146" s="567"/>
      <c r="M146" s="567"/>
      <c r="N146" s="567"/>
      <c r="O146" s="567"/>
      <c r="P146" s="567"/>
      <c r="Q146" s="567"/>
      <c r="R146" s="567"/>
      <c r="S146" s="567"/>
      <c r="T146" s="567"/>
      <c r="U146" s="567"/>
      <c r="V146" s="568" t="s">
        <v>171</v>
      </c>
      <c r="W146" s="569" t="s">
        <v>556</v>
      </c>
    </row>
    <row r="147" spans="1:23" ht="60">
      <c r="A147" s="565">
        <v>24</v>
      </c>
      <c r="B147" s="558" t="s">
        <v>561</v>
      </c>
      <c r="C147" s="555" t="s">
        <v>45</v>
      </c>
      <c r="D147" s="555" t="s">
        <v>192</v>
      </c>
      <c r="E147" s="566">
        <f t="shared" si="17"/>
        <v>0.5</v>
      </c>
      <c r="F147" s="563">
        <v>0.5</v>
      </c>
      <c r="G147" s="563">
        <f t="shared" si="18"/>
        <v>0</v>
      </c>
      <c r="H147" s="563"/>
      <c r="I147" s="563"/>
      <c r="J147" s="567"/>
      <c r="K147" s="567"/>
      <c r="L147" s="567"/>
      <c r="M147" s="567"/>
      <c r="N147" s="567"/>
      <c r="O147" s="567"/>
      <c r="P147" s="567"/>
      <c r="Q147" s="567"/>
      <c r="R147" s="567"/>
      <c r="S147" s="567"/>
      <c r="T147" s="567"/>
      <c r="U147" s="567"/>
      <c r="V147" s="568" t="s">
        <v>172</v>
      </c>
      <c r="W147" s="569" t="s">
        <v>556</v>
      </c>
    </row>
    <row r="148" spans="1:23" ht="90">
      <c r="A148" s="565">
        <v>25</v>
      </c>
      <c r="B148" s="558" t="s">
        <v>562</v>
      </c>
      <c r="C148" s="555" t="s">
        <v>45</v>
      </c>
      <c r="D148" s="555" t="s">
        <v>192</v>
      </c>
      <c r="E148" s="566">
        <f t="shared" si="17"/>
        <v>0.01</v>
      </c>
      <c r="F148" s="563">
        <v>0.01</v>
      </c>
      <c r="G148" s="563">
        <f t="shared" si="18"/>
        <v>0</v>
      </c>
      <c r="H148" s="563"/>
      <c r="I148" s="563"/>
      <c r="J148" s="567"/>
      <c r="K148" s="567"/>
      <c r="L148" s="567"/>
      <c r="M148" s="567"/>
      <c r="N148" s="567"/>
      <c r="O148" s="567"/>
      <c r="P148" s="567"/>
      <c r="Q148" s="567"/>
      <c r="R148" s="567"/>
      <c r="S148" s="567"/>
      <c r="T148" s="567"/>
      <c r="U148" s="567"/>
      <c r="V148" s="568" t="s">
        <v>173</v>
      </c>
      <c r="W148" s="569" t="s">
        <v>556</v>
      </c>
    </row>
    <row r="149" spans="1:23" ht="60">
      <c r="A149" s="565">
        <v>26</v>
      </c>
      <c r="B149" s="558" t="s">
        <v>563</v>
      </c>
      <c r="C149" s="555" t="s">
        <v>45</v>
      </c>
      <c r="D149" s="555" t="s">
        <v>192</v>
      </c>
      <c r="E149" s="566">
        <f t="shared" si="17"/>
        <v>0.2</v>
      </c>
      <c r="F149" s="563">
        <v>0.2</v>
      </c>
      <c r="G149" s="563">
        <f t="shared" si="18"/>
        <v>0</v>
      </c>
      <c r="H149" s="563"/>
      <c r="I149" s="563"/>
      <c r="J149" s="567"/>
      <c r="K149" s="567"/>
      <c r="L149" s="567"/>
      <c r="M149" s="567"/>
      <c r="N149" s="567"/>
      <c r="O149" s="567"/>
      <c r="P149" s="567"/>
      <c r="Q149" s="567"/>
      <c r="R149" s="567"/>
      <c r="S149" s="567"/>
      <c r="T149" s="567"/>
      <c r="U149" s="567"/>
      <c r="V149" s="568" t="s">
        <v>189</v>
      </c>
      <c r="W149" s="569" t="s">
        <v>556</v>
      </c>
    </row>
    <row r="150" spans="1:23" ht="60">
      <c r="A150" s="565">
        <v>27</v>
      </c>
      <c r="B150" s="558" t="s">
        <v>564</v>
      </c>
      <c r="C150" s="555" t="s">
        <v>45</v>
      </c>
      <c r="D150" s="555" t="s">
        <v>192</v>
      </c>
      <c r="E150" s="566">
        <f t="shared" si="17"/>
        <v>0.2</v>
      </c>
      <c r="F150" s="563">
        <v>0.2</v>
      </c>
      <c r="G150" s="563">
        <f t="shared" si="18"/>
        <v>0</v>
      </c>
      <c r="H150" s="563"/>
      <c r="I150" s="563"/>
      <c r="J150" s="567"/>
      <c r="K150" s="567"/>
      <c r="L150" s="567"/>
      <c r="M150" s="567"/>
      <c r="N150" s="567"/>
      <c r="O150" s="567"/>
      <c r="P150" s="567"/>
      <c r="Q150" s="567"/>
      <c r="R150" s="567"/>
      <c r="S150" s="567"/>
      <c r="T150" s="567"/>
      <c r="U150" s="567"/>
      <c r="V150" s="568" t="s">
        <v>174</v>
      </c>
      <c r="W150" s="569" t="s">
        <v>556</v>
      </c>
    </row>
    <row r="151" spans="1:23" ht="45">
      <c r="A151" s="565">
        <v>28</v>
      </c>
      <c r="B151" s="558" t="s">
        <v>565</v>
      </c>
      <c r="C151" s="555" t="s">
        <v>45</v>
      </c>
      <c r="D151" s="555" t="s">
        <v>192</v>
      </c>
      <c r="E151" s="566">
        <f t="shared" si="17"/>
        <v>0.1</v>
      </c>
      <c r="F151" s="563">
        <v>0.1</v>
      </c>
      <c r="G151" s="563">
        <f t="shared" si="18"/>
        <v>0</v>
      </c>
      <c r="H151" s="563"/>
      <c r="I151" s="563"/>
      <c r="J151" s="567"/>
      <c r="K151" s="567"/>
      <c r="L151" s="567"/>
      <c r="M151" s="567"/>
      <c r="N151" s="567"/>
      <c r="O151" s="567"/>
      <c r="P151" s="567"/>
      <c r="Q151" s="567"/>
      <c r="R151" s="567"/>
      <c r="S151" s="567"/>
      <c r="T151" s="567"/>
      <c r="U151" s="567"/>
      <c r="V151" s="568" t="s">
        <v>170</v>
      </c>
      <c r="W151" s="569" t="s">
        <v>556</v>
      </c>
    </row>
    <row r="152" spans="1:23" ht="60">
      <c r="A152" s="565">
        <v>29</v>
      </c>
      <c r="B152" s="558" t="s">
        <v>566</v>
      </c>
      <c r="C152" s="555" t="s">
        <v>45</v>
      </c>
      <c r="D152" s="555" t="s">
        <v>192</v>
      </c>
      <c r="E152" s="566">
        <f t="shared" si="17"/>
        <v>0.2</v>
      </c>
      <c r="F152" s="563">
        <v>0.2</v>
      </c>
      <c r="G152" s="563">
        <f t="shared" si="18"/>
        <v>0</v>
      </c>
      <c r="H152" s="563"/>
      <c r="I152" s="563"/>
      <c r="J152" s="567"/>
      <c r="K152" s="567"/>
      <c r="L152" s="567"/>
      <c r="M152" s="567"/>
      <c r="N152" s="567"/>
      <c r="O152" s="567"/>
      <c r="P152" s="567"/>
      <c r="Q152" s="567"/>
      <c r="R152" s="567"/>
      <c r="S152" s="567"/>
      <c r="T152" s="567"/>
      <c r="U152" s="567"/>
      <c r="V152" s="568" t="s">
        <v>169</v>
      </c>
      <c r="W152" s="569" t="s">
        <v>556</v>
      </c>
    </row>
    <row r="153" spans="1:23" ht="45">
      <c r="A153" s="565">
        <v>30</v>
      </c>
      <c r="B153" s="558" t="s">
        <v>575</v>
      </c>
      <c r="C153" s="555" t="s">
        <v>41</v>
      </c>
      <c r="D153" s="555" t="s">
        <v>41</v>
      </c>
      <c r="E153" s="566">
        <f t="shared" si="17"/>
        <v>20</v>
      </c>
      <c r="F153" s="563"/>
      <c r="G153" s="563">
        <f t="shared" si="18"/>
        <v>20</v>
      </c>
      <c r="H153" s="563"/>
      <c r="I153" s="563"/>
      <c r="J153" s="567">
        <v>20</v>
      </c>
      <c r="K153" s="567"/>
      <c r="L153" s="567"/>
      <c r="M153" s="567"/>
      <c r="N153" s="567"/>
      <c r="O153" s="567"/>
      <c r="P153" s="567"/>
      <c r="Q153" s="567"/>
      <c r="R153" s="567"/>
      <c r="S153" s="567"/>
      <c r="T153" s="567"/>
      <c r="U153" s="567"/>
      <c r="V153" s="568" t="s">
        <v>174</v>
      </c>
      <c r="W153" s="569" t="s">
        <v>576</v>
      </c>
    </row>
    <row r="154" spans="1:23" ht="30">
      <c r="A154" s="705">
        <v>31</v>
      </c>
      <c r="B154" s="706" t="s">
        <v>585</v>
      </c>
      <c r="C154" s="555" t="s">
        <v>45</v>
      </c>
      <c r="D154" s="555" t="s">
        <v>232</v>
      </c>
      <c r="E154" s="566">
        <f t="shared" ref="E154" si="19">F154+G154</f>
        <v>0.05</v>
      </c>
      <c r="F154" s="563"/>
      <c r="G154" s="563">
        <f t="shared" ref="G154" si="20">SUM(H154:U154)</f>
        <v>0.05</v>
      </c>
      <c r="H154" s="563"/>
      <c r="I154" s="563"/>
      <c r="J154" s="567">
        <v>0.05</v>
      </c>
      <c r="K154" s="567"/>
      <c r="L154" s="567"/>
      <c r="M154" s="567"/>
      <c r="N154" s="567"/>
      <c r="O154" s="567"/>
      <c r="P154" s="567"/>
      <c r="Q154" s="567"/>
      <c r="R154" s="567"/>
      <c r="S154" s="567"/>
      <c r="T154" s="567"/>
      <c r="U154" s="567"/>
      <c r="V154" s="568" t="s">
        <v>189</v>
      </c>
      <c r="W154" s="569"/>
    </row>
    <row r="155" spans="1:23" ht="28.5">
      <c r="A155" s="553" t="s">
        <v>138</v>
      </c>
      <c r="B155" s="554" t="s">
        <v>309</v>
      </c>
      <c r="C155" s="555"/>
      <c r="D155" s="555"/>
      <c r="E155" s="566">
        <f t="shared" ref="E155:E187" si="21">F155+G155</f>
        <v>0</v>
      </c>
      <c r="F155" s="563"/>
      <c r="G155" s="563">
        <f t="shared" ref="G155:G187" si="22">SUM(H155:U155)</f>
        <v>0</v>
      </c>
      <c r="H155" s="563"/>
      <c r="I155" s="563"/>
      <c r="J155" s="556"/>
      <c r="K155" s="556"/>
      <c r="L155" s="556"/>
      <c r="M155" s="556"/>
      <c r="N155" s="556"/>
      <c r="O155" s="556"/>
      <c r="P155" s="556"/>
      <c r="Q155" s="556"/>
      <c r="R155" s="556"/>
      <c r="S155" s="556"/>
      <c r="T155" s="556"/>
      <c r="U155" s="556"/>
      <c r="V155" s="557"/>
      <c r="W155" s="558"/>
    </row>
    <row r="156" spans="1:23" ht="30" customHeight="1">
      <c r="A156" s="743">
        <v>1</v>
      </c>
      <c r="B156" s="752" t="s">
        <v>497</v>
      </c>
      <c r="C156" s="674" t="s">
        <v>27</v>
      </c>
      <c r="D156" s="674" t="s">
        <v>27</v>
      </c>
      <c r="E156" s="566">
        <f t="shared" si="21"/>
        <v>4.68</v>
      </c>
      <c r="F156" s="563"/>
      <c r="G156" s="563">
        <f t="shared" si="22"/>
        <v>4.68</v>
      </c>
      <c r="H156" s="563"/>
      <c r="I156" s="563"/>
      <c r="J156" s="563"/>
      <c r="K156" s="563">
        <v>4.68</v>
      </c>
      <c r="L156" s="563"/>
      <c r="M156" s="563"/>
      <c r="N156" s="563"/>
      <c r="O156" s="563"/>
      <c r="P156" s="563"/>
      <c r="Q156" s="563"/>
      <c r="R156" s="563"/>
      <c r="S156" s="563"/>
      <c r="T156" s="563"/>
      <c r="U156" s="563"/>
      <c r="V156" s="564" t="s">
        <v>190</v>
      </c>
      <c r="W156" s="749" t="s">
        <v>569</v>
      </c>
    </row>
    <row r="157" spans="1:23" ht="30" customHeight="1">
      <c r="A157" s="744"/>
      <c r="B157" s="753"/>
      <c r="C157" s="674" t="s">
        <v>78</v>
      </c>
      <c r="D157" s="674" t="s">
        <v>78</v>
      </c>
      <c r="E157" s="566">
        <f t="shared" si="21"/>
        <v>0.5</v>
      </c>
      <c r="F157" s="563"/>
      <c r="G157" s="563">
        <f t="shared" si="22"/>
        <v>0.5</v>
      </c>
      <c r="H157" s="563"/>
      <c r="I157" s="563"/>
      <c r="J157" s="563"/>
      <c r="K157" s="563">
        <v>0.5</v>
      </c>
      <c r="L157" s="563"/>
      <c r="M157" s="563"/>
      <c r="N157" s="563"/>
      <c r="O157" s="563"/>
      <c r="P157" s="563"/>
      <c r="Q157" s="563"/>
      <c r="R157" s="563"/>
      <c r="S157" s="563"/>
      <c r="T157" s="563"/>
      <c r="U157" s="563"/>
      <c r="V157" s="564" t="s">
        <v>190</v>
      </c>
      <c r="W157" s="750"/>
    </row>
    <row r="158" spans="1:23" ht="30" customHeight="1">
      <c r="A158" s="745"/>
      <c r="B158" s="754"/>
      <c r="C158" s="674" t="s">
        <v>15</v>
      </c>
      <c r="D158" s="674" t="s">
        <v>15</v>
      </c>
      <c r="E158" s="566">
        <f t="shared" si="21"/>
        <v>19.350000000000001</v>
      </c>
      <c r="F158" s="563">
        <v>19.350000000000001</v>
      </c>
      <c r="G158" s="563">
        <f t="shared" si="22"/>
        <v>0</v>
      </c>
      <c r="H158" s="563"/>
      <c r="I158" s="563"/>
      <c r="J158" s="563"/>
      <c r="K158" s="563"/>
      <c r="L158" s="563"/>
      <c r="M158" s="563"/>
      <c r="N158" s="563"/>
      <c r="O158" s="563"/>
      <c r="P158" s="563"/>
      <c r="Q158" s="563"/>
      <c r="R158" s="563"/>
      <c r="S158" s="563"/>
      <c r="T158" s="563"/>
      <c r="U158" s="563"/>
      <c r="V158" s="564" t="s">
        <v>190</v>
      </c>
      <c r="W158" s="751"/>
    </row>
    <row r="159" spans="1:23" ht="15.75">
      <c r="A159" s="743">
        <v>2</v>
      </c>
      <c r="B159" s="752" t="s">
        <v>522</v>
      </c>
      <c r="C159" s="674" t="s">
        <v>27</v>
      </c>
      <c r="D159" s="674" t="s">
        <v>27</v>
      </c>
      <c r="E159" s="566">
        <f t="shared" si="21"/>
        <v>7.3999999999999995</v>
      </c>
      <c r="F159" s="563"/>
      <c r="G159" s="563">
        <f t="shared" si="22"/>
        <v>7.3999999999999995</v>
      </c>
      <c r="H159" s="563"/>
      <c r="I159" s="563"/>
      <c r="J159" s="563">
        <v>2.2999999999999998</v>
      </c>
      <c r="K159" s="563">
        <v>5.0999999999999996</v>
      </c>
      <c r="L159" s="563"/>
      <c r="M159" s="563"/>
      <c r="N159" s="563"/>
      <c r="O159" s="563"/>
      <c r="P159" s="563"/>
      <c r="Q159" s="563"/>
      <c r="R159" s="563"/>
      <c r="S159" s="563"/>
      <c r="T159" s="563"/>
      <c r="U159" s="563"/>
      <c r="V159" s="564" t="s">
        <v>189</v>
      </c>
      <c r="W159" s="646"/>
    </row>
    <row r="160" spans="1:23" ht="15.75">
      <c r="A160" s="744"/>
      <c r="B160" s="753"/>
      <c r="C160" s="674" t="s">
        <v>78</v>
      </c>
      <c r="D160" s="674" t="s">
        <v>78</v>
      </c>
      <c r="E160" s="566">
        <f t="shared" si="21"/>
        <v>1.85</v>
      </c>
      <c r="F160" s="563"/>
      <c r="G160" s="563">
        <f t="shared" si="22"/>
        <v>1.85</v>
      </c>
      <c r="H160" s="563"/>
      <c r="I160" s="563"/>
      <c r="J160" s="563">
        <v>1.85</v>
      </c>
      <c r="K160" s="563"/>
      <c r="L160" s="563"/>
      <c r="M160" s="563"/>
      <c r="N160" s="563"/>
      <c r="O160" s="563"/>
      <c r="P160" s="563"/>
      <c r="Q160" s="563"/>
      <c r="R160" s="563"/>
      <c r="S160" s="563"/>
      <c r="T160" s="563"/>
      <c r="U160" s="563"/>
      <c r="V160" s="564" t="s">
        <v>189</v>
      </c>
      <c r="W160" s="646"/>
    </row>
    <row r="161" spans="1:23" ht="15.75">
      <c r="A161" s="745"/>
      <c r="B161" s="754"/>
      <c r="C161" s="674" t="s">
        <v>15</v>
      </c>
      <c r="D161" s="674" t="s">
        <v>15</v>
      </c>
      <c r="E161" s="566">
        <f t="shared" si="21"/>
        <v>27.75</v>
      </c>
      <c r="F161" s="563">
        <f>37-19.25</f>
        <v>17.75</v>
      </c>
      <c r="G161" s="563">
        <f t="shared" si="22"/>
        <v>10</v>
      </c>
      <c r="H161" s="563"/>
      <c r="I161" s="563"/>
      <c r="J161" s="563">
        <v>10</v>
      </c>
      <c r="K161" s="563"/>
      <c r="L161" s="563"/>
      <c r="M161" s="563"/>
      <c r="N161" s="563"/>
      <c r="O161" s="563"/>
      <c r="P161" s="563"/>
      <c r="Q161" s="563"/>
      <c r="R161" s="563"/>
      <c r="S161" s="563"/>
      <c r="T161" s="563"/>
      <c r="U161" s="563"/>
      <c r="V161" s="564" t="s">
        <v>189</v>
      </c>
      <c r="W161" s="646"/>
    </row>
    <row r="162" spans="1:23" ht="23.25" customHeight="1">
      <c r="A162" s="743">
        <v>3</v>
      </c>
      <c r="B162" s="746" t="s">
        <v>523</v>
      </c>
      <c r="C162" s="674" t="s">
        <v>27</v>
      </c>
      <c r="D162" s="674" t="s">
        <v>27</v>
      </c>
      <c r="E162" s="566">
        <f t="shared" si="21"/>
        <v>3.8</v>
      </c>
      <c r="F162" s="563"/>
      <c r="G162" s="563">
        <f t="shared" si="22"/>
        <v>3.8</v>
      </c>
      <c r="H162" s="563"/>
      <c r="I162" s="563"/>
      <c r="J162" s="563">
        <v>3.8</v>
      </c>
      <c r="K162" s="563"/>
      <c r="L162" s="563"/>
      <c r="M162" s="563"/>
      <c r="N162" s="563"/>
      <c r="O162" s="563"/>
      <c r="P162" s="563"/>
      <c r="Q162" s="563"/>
      <c r="R162" s="563"/>
      <c r="S162" s="563"/>
      <c r="T162" s="563"/>
      <c r="U162" s="563"/>
      <c r="V162" s="564" t="s">
        <v>172</v>
      </c>
      <c r="W162" s="749" t="s">
        <v>524</v>
      </c>
    </row>
    <row r="163" spans="1:23" ht="23.25" customHeight="1">
      <c r="A163" s="744"/>
      <c r="B163" s="747"/>
      <c r="C163" s="674" t="s">
        <v>78</v>
      </c>
      <c r="D163" s="674" t="s">
        <v>78</v>
      </c>
      <c r="E163" s="566">
        <f t="shared" si="21"/>
        <v>1</v>
      </c>
      <c r="F163" s="563"/>
      <c r="G163" s="563">
        <f t="shared" si="22"/>
        <v>1</v>
      </c>
      <c r="H163" s="563"/>
      <c r="I163" s="563"/>
      <c r="J163" s="563">
        <v>1</v>
      </c>
      <c r="K163" s="563"/>
      <c r="L163" s="563"/>
      <c r="M163" s="563"/>
      <c r="N163" s="563"/>
      <c r="O163" s="563"/>
      <c r="P163" s="563"/>
      <c r="Q163" s="563"/>
      <c r="R163" s="563"/>
      <c r="S163" s="563"/>
      <c r="T163" s="563"/>
      <c r="U163" s="563"/>
      <c r="V163" s="564" t="s">
        <v>172</v>
      </c>
      <c r="W163" s="750"/>
    </row>
    <row r="164" spans="1:23" ht="23.25" customHeight="1">
      <c r="A164" s="745"/>
      <c r="B164" s="748"/>
      <c r="C164" s="674" t="s">
        <v>15</v>
      </c>
      <c r="D164" s="674" t="s">
        <v>15</v>
      </c>
      <c r="E164" s="566">
        <f t="shared" si="21"/>
        <v>14.2</v>
      </c>
      <c r="F164" s="563"/>
      <c r="G164" s="563">
        <f t="shared" si="22"/>
        <v>14.2</v>
      </c>
      <c r="H164" s="563"/>
      <c r="I164" s="563"/>
      <c r="J164" s="563">
        <v>14.2</v>
      </c>
      <c r="K164" s="563"/>
      <c r="L164" s="563"/>
      <c r="M164" s="563"/>
      <c r="N164" s="563"/>
      <c r="O164" s="563"/>
      <c r="P164" s="563"/>
      <c r="Q164" s="563"/>
      <c r="R164" s="563"/>
      <c r="S164" s="563"/>
      <c r="T164" s="563"/>
      <c r="U164" s="563"/>
      <c r="V164" s="564" t="s">
        <v>172</v>
      </c>
      <c r="W164" s="751"/>
    </row>
    <row r="165" spans="1:23" ht="15.75">
      <c r="A165" s="743">
        <v>4</v>
      </c>
      <c r="B165" s="752" t="s">
        <v>525</v>
      </c>
      <c r="C165" s="674" t="s">
        <v>27</v>
      </c>
      <c r="D165" s="674" t="s">
        <v>27</v>
      </c>
      <c r="E165" s="566">
        <f t="shared" si="21"/>
        <v>5.0999999999999996</v>
      </c>
      <c r="F165" s="563"/>
      <c r="G165" s="563">
        <f t="shared" si="22"/>
        <v>5.0999999999999996</v>
      </c>
      <c r="H165" s="563"/>
      <c r="I165" s="563"/>
      <c r="J165" s="563">
        <v>2.1</v>
      </c>
      <c r="K165" s="563">
        <v>3</v>
      </c>
      <c r="L165" s="563"/>
      <c r="M165" s="563"/>
      <c r="N165" s="563"/>
      <c r="O165" s="563"/>
      <c r="P165" s="563"/>
      <c r="Q165" s="563"/>
      <c r="R165" s="563"/>
      <c r="S165" s="563"/>
      <c r="T165" s="563"/>
      <c r="U165" s="563"/>
      <c r="V165" s="564" t="s">
        <v>170</v>
      </c>
      <c r="W165" s="749" t="s">
        <v>526</v>
      </c>
    </row>
    <row r="166" spans="1:23" ht="15.75">
      <c r="A166" s="744"/>
      <c r="B166" s="753"/>
      <c r="C166" s="674" t="s">
        <v>13</v>
      </c>
      <c r="D166" s="674" t="s">
        <v>13</v>
      </c>
      <c r="E166" s="566">
        <f t="shared" si="21"/>
        <v>5</v>
      </c>
      <c r="F166" s="563">
        <v>5</v>
      </c>
      <c r="G166" s="563">
        <f t="shared" si="22"/>
        <v>0</v>
      </c>
      <c r="H166" s="563"/>
      <c r="I166" s="563"/>
      <c r="J166" s="563"/>
      <c r="K166" s="563"/>
      <c r="L166" s="563"/>
      <c r="M166" s="563"/>
      <c r="N166" s="563"/>
      <c r="O166" s="563"/>
      <c r="P166" s="563"/>
      <c r="Q166" s="563"/>
      <c r="R166" s="563"/>
      <c r="S166" s="563"/>
      <c r="T166" s="563"/>
      <c r="U166" s="563"/>
      <c r="V166" s="564" t="s">
        <v>170</v>
      </c>
      <c r="W166" s="750"/>
    </row>
    <row r="167" spans="1:23" ht="15.75">
      <c r="A167" s="744"/>
      <c r="B167" s="753"/>
      <c r="C167" s="674" t="s">
        <v>15</v>
      </c>
      <c r="D167" s="674" t="s">
        <v>15</v>
      </c>
      <c r="E167" s="566">
        <f t="shared" si="21"/>
        <v>14.15</v>
      </c>
      <c r="F167" s="563">
        <v>14.15</v>
      </c>
      <c r="G167" s="563"/>
      <c r="H167" s="563"/>
      <c r="I167" s="563"/>
      <c r="J167" s="563"/>
      <c r="K167" s="563"/>
      <c r="L167" s="563"/>
      <c r="M167" s="563"/>
      <c r="N167" s="563"/>
      <c r="O167" s="563"/>
      <c r="P167" s="563"/>
      <c r="Q167" s="563"/>
      <c r="R167" s="563"/>
      <c r="S167" s="563"/>
      <c r="T167" s="563"/>
      <c r="U167" s="563"/>
      <c r="V167" s="564" t="s">
        <v>170</v>
      </c>
      <c r="W167" s="750"/>
    </row>
    <row r="168" spans="1:23" ht="15.75">
      <c r="A168" s="745"/>
      <c r="B168" s="754"/>
      <c r="C168" s="674" t="s">
        <v>78</v>
      </c>
      <c r="D168" s="674" t="s">
        <v>78</v>
      </c>
      <c r="E168" s="566">
        <f t="shared" si="21"/>
        <v>1.25</v>
      </c>
      <c r="F168" s="563"/>
      <c r="G168" s="563">
        <f t="shared" si="22"/>
        <v>1.25</v>
      </c>
      <c r="H168" s="563"/>
      <c r="I168" s="563"/>
      <c r="J168" s="563">
        <v>0.75</v>
      </c>
      <c r="K168" s="563">
        <v>0.5</v>
      </c>
      <c r="L168" s="563"/>
      <c r="M168" s="563"/>
      <c r="N168" s="563"/>
      <c r="O168" s="563"/>
      <c r="P168" s="563"/>
      <c r="Q168" s="563"/>
      <c r="R168" s="563"/>
      <c r="S168" s="563"/>
      <c r="T168" s="563"/>
      <c r="U168" s="563"/>
      <c r="V168" s="564" t="s">
        <v>170</v>
      </c>
      <c r="W168" s="751"/>
    </row>
    <row r="169" spans="1:23" ht="25.5" customHeight="1">
      <c r="A169" s="743">
        <v>5</v>
      </c>
      <c r="B169" s="752" t="s">
        <v>570</v>
      </c>
      <c r="C169" s="674" t="s">
        <v>27</v>
      </c>
      <c r="D169" s="674" t="s">
        <v>27</v>
      </c>
      <c r="E169" s="566">
        <f t="shared" ref="E169:E183" si="23">F169+G169</f>
        <v>7.8</v>
      </c>
      <c r="F169" s="563"/>
      <c r="G169" s="563">
        <f t="shared" ref="G169:G183" si="24">SUM(H169:U169)</f>
        <v>7.8</v>
      </c>
      <c r="H169" s="563"/>
      <c r="I169" s="563"/>
      <c r="J169" s="563">
        <v>2</v>
      </c>
      <c r="K169" s="563">
        <v>5.8</v>
      </c>
      <c r="L169" s="563"/>
      <c r="M169" s="563"/>
      <c r="N169" s="563"/>
      <c r="O169" s="563"/>
      <c r="P169" s="563"/>
      <c r="Q169" s="563"/>
      <c r="R169" s="563"/>
      <c r="S169" s="563"/>
      <c r="T169" s="563"/>
      <c r="U169" s="563"/>
      <c r="V169" s="564" t="s">
        <v>170</v>
      </c>
      <c r="W169" s="749" t="s">
        <v>573</v>
      </c>
    </row>
    <row r="170" spans="1:23" ht="25.5" customHeight="1">
      <c r="A170" s="744"/>
      <c r="B170" s="753"/>
      <c r="C170" s="674" t="s">
        <v>13</v>
      </c>
      <c r="D170" s="674" t="s">
        <v>13</v>
      </c>
      <c r="E170" s="566">
        <f t="shared" ref="E170" si="25">F170+G170</f>
        <v>14.06</v>
      </c>
      <c r="F170" s="563">
        <v>14.06</v>
      </c>
      <c r="G170" s="563">
        <f t="shared" ref="G170" si="26">SUM(H170:U170)</f>
        <v>0</v>
      </c>
      <c r="H170" s="563"/>
      <c r="I170" s="563"/>
      <c r="J170" s="563"/>
      <c r="K170" s="563"/>
      <c r="L170" s="563"/>
      <c r="M170" s="563"/>
      <c r="N170" s="563"/>
      <c r="O170" s="563"/>
      <c r="P170" s="563"/>
      <c r="Q170" s="563"/>
      <c r="R170" s="563"/>
      <c r="S170" s="563"/>
      <c r="T170" s="563"/>
      <c r="U170" s="563"/>
      <c r="V170" s="564" t="s">
        <v>170</v>
      </c>
      <c r="W170" s="750"/>
    </row>
    <row r="171" spans="1:23" ht="25.5" customHeight="1">
      <c r="A171" s="744"/>
      <c r="B171" s="753"/>
      <c r="C171" s="674" t="s">
        <v>15</v>
      </c>
      <c r="D171" s="674" t="s">
        <v>15</v>
      </c>
      <c r="E171" s="566">
        <f t="shared" ref="E171:E172" si="27">F171+G171</f>
        <v>15.029999999999998</v>
      </c>
      <c r="F171" s="563">
        <v>15.029999999999998</v>
      </c>
      <c r="G171" s="563">
        <f t="shared" ref="G171:G172" si="28">SUM(H171:U171)</f>
        <v>0</v>
      </c>
      <c r="H171" s="563"/>
      <c r="I171" s="563"/>
      <c r="J171" s="563"/>
      <c r="K171" s="563"/>
      <c r="L171" s="563"/>
      <c r="M171" s="563"/>
      <c r="N171" s="563"/>
      <c r="O171" s="563"/>
      <c r="P171" s="563"/>
      <c r="Q171" s="563"/>
      <c r="R171" s="563"/>
      <c r="S171" s="563"/>
      <c r="T171" s="563"/>
      <c r="U171" s="563"/>
      <c r="V171" s="564" t="s">
        <v>170</v>
      </c>
      <c r="W171" s="750"/>
    </row>
    <row r="172" spans="1:23" ht="25.5" customHeight="1">
      <c r="A172" s="745"/>
      <c r="B172" s="754"/>
      <c r="C172" s="674" t="s">
        <v>78</v>
      </c>
      <c r="D172" s="674" t="s">
        <v>78</v>
      </c>
      <c r="E172" s="566">
        <f t="shared" si="27"/>
        <v>1.94</v>
      </c>
      <c r="F172" s="563"/>
      <c r="G172" s="563">
        <f t="shared" si="28"/>
        <v>1.94</v>
      </c>
      <c r="H172" s="563"/>
      <c r="I172" s="563"/>
      <c r="J172" s="563">
        <v>1.94</v>
      </c>
      <c r="K172" s="563"/>
      <c r="L172" s="563"/>
      <c r="M172" s="563"/>
      <c r="N172" s="563"/>
      <c r="O172" s="563"/>
      <c r="P172" s="563"/>
      <c r="Q172" s="563"/>
      <c r="R172" s="563"/>
      <c r="S172" s="563"/>
      <c r="T172" s="563"/>
      <c r="U172" s="563"/>
      <c r="V172" s="564" t="s">
        <v>170</v>
      </c>
      <c r="W172" s="751"/>
    </row>
    <row r="173" spans="1:23" ht="15.75">
      <c r="A173" s="743">
        <v>6</v>
      </c>
      <c r="B173" s="746" t="s">
        <v>571</v>
      </c>
      <c r="C173" s="674" t="s">
        <v>27</v>
      </c>
      <c r="D173" s="674" t="s">
        <v>27</v>
      </c>
      <c r="E173" s="566">
        <f t="shared" si="23"/>
        <v>3.9</v>
      </c>
      <c r="F173" s="563"/>
      <c r="G173" s="563">
        <f t="shared" si="24"/>
        <v>3.9</v>
      </c>
      <c r="H173" s="563"/>
      <c r="I173" s="563"/>
      <c r="J173" s="563">
        <v>3.9</v>
      </c>
      <c r="K173" s="563"/>
      <c r="L173" s="563"/>
      <c r="M173" s="563"/>
      <c r="N173" s="563"/>
      <c r="O173" s="563"/>
      <c r="P173" s="563"/>
      <c r="Q173" s="563"/>
      <c r="R173" s="563"/>
      <c r="S173" s="563"/>
      <c r="T173" s="563"/>
      <c r="U173" s="563"/>
      <c r="V173" s="564" t="s">
        <v>170</v>
      </c>
      <c r="W173" s="749" t="s">
        <v>574</v>
      </c>
    </row>
    <row r="174" spans="1:23" ht="15.75">
      <c r="A174" s="744"/>
      <c r="B174" s="747"/>
      <c r="C174" s="674" t="s">
        <v>15</v>
      </c>
      <c r="D174" s="674" t="s">
        <v>15</v>
      </c>
      <c r="E174" s="566">
        <f t="shared" si="23"/>
        <v>14.6</v>
      </c>
      <c r="F174" s="563">
        <f>5.6+9</f>
        <v>14.6</v>
      </c>
      <c r="G174" s="563">
        <f t="shared" si="24"/>
        <v>0</v>
      </c>
      <c r="H174" s="563"/>
      <c r="I174" s="563"/>
      <c r="J174" s="563"/>
      <c r="K174" s="563"/>
      <c r="L174" s="563"/>
      <c r="M174" s="563"/>
      <c r="N174" s="563"/>
      <c r="O174" s="563"/>
      <c r="P174" s="563"/>
      <c r="Q174" s="563"/>
      <c r="R174" s="563"/>
      <c r="S174" s="563"/>
      <c r="T174" s="563"/>
      <c r="U174" s="563"/>
      <c r="V174" s="564" t="s">
        <v>170</v>
      </c>
      <c r="W174" s="750"/>
    </row>
    <row r="175" spans="1:23" ht="15.75">
      <c r="A175" s="745"/>
      <c r="B175" s="748"/>
      <c r="C175" s="674" t="s">
        <v>78</v>
      </c>
      <c r="D175" s="674" t="s">
        <v>78</v>
      </c>
      <c r="E175" s="566">
        <f t="shared" si="23"/>
        <v>1</v>
      </c>
      <c r="F175" s="563"/>
      <c r="G175" s="563">
        <f t="shared" si="24"/>
        <v>1</v>
      </c>
      <c r="H175" s="563"/>
      <c r="I175" s="563"/>
      <c r="J175" s="563"/>
      <c r="K175" s="563">
        <v>1</v>
      </c>
      <c r="L175" s="563"/>
      <c r="M175" s="563"/>
      <c r="N175" s="563"/>
      <c r="O175" s="563"/>
      <c r="P175" s="563"/>
      <c r="Q175" s="563"/>
      <c r="R175" s="563"/>
      <c r="S175" s="563"/>
      <c r="T175" s="563"/>
      <c r="U175" s="563"/>
      <c r="V175" s="564" t="s">
        <v>170</v>
      </c>
      <c r="W175" s="751"/>
    </row>
    <row r="176" spans="1:23" ht="15.75">
      <c r="A176" s="743">
        <v>7</v>
      </c>
      <c r="B176" s="746" t="s">
        <v>572</v>
      </c>
      <c r="C176" s="674" t="s">
        <v>27</v>
      </c>
      <c r="D176" s="674" t="s">
        <v>27</v>
      </c>
      <c r="E176" s="566">
        <f t="shared" si="23"/>
        <v>3.9</v>
      </c>
      <c r="F176" s="563"/>
      <c r="G176" s="563">
        <f t="shared" si="24"/>
        <v>3.9</v>
      </c>
      <c r="H176" s="563"/>
      <c r="I176" s="563"/>
      <c r="J176" s="563">
        <v>3.9</v>
      </c>
      <c r="K176" s="563"/>
      <c r="L176" s="563"/>
      <c r="M176" s="563"/>
      <c r="N176" s="563"/>
      <c r="O176" s="563"/>
      <c r="P176" s="563"/>
      <c r="Q176" s="563"/>
      <c r="R176" s="563"/>
      <c r="S176" s="563"/>
      <c r="T176" s="563"/>
      <c r="U176" s="563"/>
      <c r="V176" s="564" t="s">
        <v>170</v>
      </c>
      <c r="W176" s="749"/>
    </row>
    <row r="177" spans="1:23" ht="15.75">
      <c r="A177" s="744"/>
      <c r="B177" s="747"/>
      <c r="C177" s="674" t="s">
        <v>13</v>
      </c>
      <c r="D177" s="674" t="s">
        <v>13</v>
      </c>
      <c r="E177" s="566">
        <f t="shared" si="23"/>
        <v>9.02</v>
      </c>
      <c r="F177" s="563">
        <v>9.02</v>
      </c>
      <c r="G177" s="563">
        <f t="shared" si="24"/>
        <v>0</v>
      </c>
      <c r="H177" s="563"/>
      <c r="I177" s="563"/>
      <c r="J177" s="563"/>
      <c r="K177" s="563"/>
      <c r="L177" s="563"/>
      <c r="M177" s="563"/>
      <c r="N177" s="563"/>
      <c r="O177" s="563"/>
      <c r="P177" s="563"/>
      <c r="Q177" s="563"/>
      <c r="R177" s="563"/>
      <c r="S177" s="563"/>
      <c r="T177" s="563"/>
      <c r="U177" s="563"/>
      <c r="V177" s="564" t="s">
        <v>170</v>
      </c>
      <c r="W177" s="750"/>
    </row>
    <row r="178" spans="1:23" ht="15.75">
      <c r="A178" s="744"/>
      <c r="B178" s="747"/>
      <c r="C178" s="674" t="s">
        <v>15</v>
      </c>
      <c r="D178" s="674" t="s">
        <v>15</v>
      </c>
      <c r="E178" s="566">
        <f t="shared" si="23"/>
        <v>5.6</v>
      </c>
      <c r="F178" s="563">
        <v>5.6</v>
      </c>
      <c r="G178" s="563">
        <f t="shared" si="24"/>
        <v>0</v>
      </c>
      <c r="H178" s="563"/>
      <c r="I178" s="563"/>
      <c r="J178" s="563"/>
      <c r="K178" s="563"/>
      <c r="L178" s="563"/>
      <c r="M178" s="563"/>
      <c r="N178" s="563"/>
      <c r="O178" s="563"/>
      <c r="P178" s="563"/>
      <c r="Q178" s="563"/>
      <c r="R178" s="563"/>
      <c r="S178" s="563"/>
      <c r="T178" s="563"/>
      <c r="U178" s="563"/>
      <c r="V178" s="564" t="s">
        <v>170</v>
      </c>
      <c r="W178" s="750"/>
    </row>
    <row r="179" spans="1:23" ht="15.75">
      <c r="A179" s="745"/>
      <c r="B179" s="748"/>
      <c r="C179" s="674" t="s">
        <v>78</v>
      </c>
      <c r="D179" s="674" t="s">
        <v>78</v>
      </c>
      <c r="E179" s="566">
        <f t="shared" si="23"/>
        <v>0.98</v>
      </c>
      <c r="F179" s="563"/>
      <c r="G179" s="563">
        <f t="shared" si="24"/>
        <v>0.98</v>
      </c>
      <c r="H179" s="563"/>
      <c r="I179" s="563"/>
      <c r="J179" s="563">
        <v>0.98</v>
      </c>
      <c r="K179" s="563"/>
      <c r="L179" s="563"/>
      <c r="M179" s="563"/>
      <c r="N179" s="563"/>
      <c r="O179" s="563"/>
      <c r="P179" s="563"/>
      <c r="Q179" s="563"/>
      <c r="R179" s="563"/>
      <c r="S179" s="563"/>
      <c r="T179" s="563"/>
      <c r="U179" s="563"/>
      <c r="V179" s="564" t="s">
        <v>170</v>
      </c>
      <c r="W179" s="751"/>
    </row>
    <row r="180" spans="1:23" ht="15.75">
      <c r="A180" s="743">
        <v>8</v>
      </c>
      <c r="B180" s="746" t="s">
        <v>578</v>
      </c>
      <c r="C180" s="674" t="s">
        <v>27</v>
      </c>
      <c r="D180" s="674" t="s">
        <v>27</v>
      </c>
      <c r="E180" s="566">
        <f t="shared" si="23"/>
        <v>14</v>
      </c>
      <c r="F180" s="563"/>
      <c r="G180" s="563">
        <f t="shared" si="24"/>
        <v>14</v>
      </c>
      <c r="H180" s="563"/>
      <c r="I180" s="563"/>
      <c r="J180" s="563">
        <v>4</v>
      </c>
      <c r="K180" s="563">
        <v>10</v>
      </c>
      <c r="L180" s="563"/>
      <c r="M180" s="563"/>
      <c r="N180" s="563"/>
      <c r="O180" s="563"/>
      <c r="P180" s="563"/>
      <c r="Q180" s="563"/>
      <c r="R180" s="563"/>
      <c r="S180" s="563"/>
      <c r="T180" s="563"/>
      <c r="U180" s="563"/>
      <c r="V180" s="564" t="s">
        <v>170</v>
      </c>
      <c r="W180" s="749"/>
    </row>
    <row r="181" spans="1:23" ht="15.75">
      <c r="A181" s="744"/>
      <c r="B181" s="747"/>
      <c r="C181" s="674" t="s">
        <v>13</v>
      </c>
      <c r="D181" s="674" t="s">
        <v>13</v>
      </c>
      <c r="E181" s="566">
        <f t="shared" si="23"/>
        <v>10</v>
      </c>
      <c r="F181" s="563"/>
      <c r="G181" s="563">
        <f t="shared" si="24"/>
        <v>10</v>
      </c>
      <c r="H181" s="563"/>
      <c r="I181" s="563"/>
      <c r="J181" s="563"/>
      <c r="K181" s="563">
        <v>10</v>
      </c>
      <c r="L181" s="563"/>
      <c r="M181" s="563"/>
      <c r="N181" s="563"/>
      <c r="O181" s="563"/>
      <c r="P181" s="563"/>
      <c r="Q181" s="563"/>
      <c r="R181" s="563"/>
      <c r="S181" s="563"/>
      <c r="T181" s="563"/>
      <c r="U181" s="563"/>
      <c r="V181" s="564" t="s">
        <v>170</v>
      </c>
      <c r="W181" s="750"/>
    </row>
    <row r="182" spans="1:23" ht="15.75">
      <c r="A182" s="744"/>
      <c r="B182" s="747"/>
      <c r="C182" s="674" t="s">
        <v>15</v>
      </c>
      <c r="D182" s="674" t="s">
        <v>15</v>
      </c>
      <c r="E182" s="566">
        <f t="shared" si="23"/>
        <v>42.5</v>
      </c>
      <c r="F182" s="563">
        <v>42.5</v>
      </c>
      <c r="G182" s="563">
        <f t="shared" si="24"/>
        <v>0</v>
      </c>
      <c r="H182" s="563"/>
      <c r="I182" s="563"/>
      <c r="J182" s="563"/>
      <c r="K182" s="563"/>
      <c r="L182" s="563"/>
      <c r="M182" s="563"/>
      <c r="N182" s="563"/>
      <c r="O182" s="563"/>
      <c r="P182" s="563"/>
      <c r="Q182" s="563"/>
      <c r="R182" s="563"/>
      <c r="S182" s="563"/>
      <c r="T182" s="563"/>
      <c r="U182" s="563"/>
      <c r="V182" s="564" t="s">
        <v>170</v>
      </c>
      <c r="W182" s="750"/>
    </row>
    <row r="183" spans="1:23" ht="15.75">
      <c r="A183" s="745"/>
      <c r="B183" s="748"/>
      <c r="C183" s="674" t="s">
        <v>78</v>
      </c>
      <c r="D183" s="674" t="s">
        <v>78</v>
      </c>
      <c r="E183" s="566">
        <f t="shared" si="23"/>
        <v>3.5</v>
      </c>
      <c r="F183" s="563"/>
      <c r="G183" s="563">
        <f t="shared" si="24"/>
        <v>3.5</v>
      </c>
      <c r="H183" s="563"/>
      <c r="I183" s="563"/>
      <c r="J183" s="563">
        <v>1.5</v>
      </c>
      <c r="K183" s="563">
        <v>2</v>
      </c>
      <c r="L183" s="563"/>
      <c r="M183" s="563"/>
      <c r="N183" s="563"/>
      <c r="O183" s="563"/>
      <c r="P183" s="563"/>
      <c r="Q183" s="563"/>
      <c r="R183" s="563"/>
      <c r="S183" s="563"/>
      <c r="T183" s="563"/>
      <c r="U183" s="563"/>
      <c r="V183" s="564" t="s">
        <v>170</v>
      </c>
      <c r="W183" s="751"/>
    </row>
    <row r="184" spans="1:23" ht="63.75" customHeight="1">
      <c r="A184" s="675">
        <v>9</v>
      </c>
      <c r="B184" s="676" t="s">
        <v>577</v>
      </c>
      <c r="C184" s="674" t="s">
        <v>13</v>
      </c>
      <c r="D184" s="674" t="s">
        <v>13</v>
      </c>
      <c r="E184" s="566">
        <f t="shared" ref="E184" si="29">F184+G184</f>
        <v>255</v>
      </c>
      <c r="F184" s="563">
        <v>255</v>
      </c>
      <c r="G184" s="563">
        <f t="shared" ref="G184" si="30">SUM(H184:U184)</f>
        <v>0</v>
      </c>
      <c r="H184" s="563"/>
      <c r="I184" s="563"/>
      <c r="J184" s="563"/>
      <c r="K184" s="563"/>
      <c r="L184" s="563"/>
      <c r="M184" s="563"/>
      <c r="N184" s="563"/>
      <c r="O184" s="563"/>
      <c r="P184" s="563"/>
      <c r="Q184" s="563"/>
      <c r="R184" s="563"/>
      <c r="S184" s="563"/>
      <c r="T184" s="563"/>
      <c r="U184" s="563"/>
      <c r="V184" s="564" t="s">
        <v>174</v>
      </c>
      <c r="W184" s="646" t="s">
        <v>576</v>
      </c>
    </row>
    <row r="185" spans="1:23" ht="45">
      <c r="A185" s="675">
        <v>10</v>
      </c>
      <c r="B185" s="561" t="s">
        <v>498</v>
      </c>
      <c r="C185" s="555" t="s">
        <v>21</v>
      </c>
      <c r="D185" s="555" t="s">
        <v>21</v>
      </c>
      <c r="E185" s="566">
        <f t="shared" si="21"/>
        <v>404.09999999999997</v>
      </c>
      <c r="F185" s="563">
        <f>346.9+57.2</f>
        <v>404.09999999999997</v>
      </c>
      <c r="G185" s="563">
        <f t="shared" si="22"/>
        <v>0</v>
      </c>
      <c r="H185" s="563"/>
      <c r="I185" s="563"/>
      <c r="J185" s="563"/>
      <c r="K185" s="563"/>
      <c r="L185" s="563"/>
      <c r="M185" s="563"/>
      <c r="N185" s="563"/>
      <c r="O185" s="563"/>
      <c r="P185" s="563"/>
      <c r="Q185" s="563"/>
      <c r="R185" s="563"/>
      <c r="S185" s="563"/>
      <c r="T185" s="563"/>
      <c r="U185" s="563"/>
      <c r="V185" s="564" t="s">
        <v>174</v>
      </c>
      <c r="W185" s="558"/>
    </row>
    <row r="186" spans="1:23">
      <c r="A186" s="675">
        <v>11</v>
      </c>
      <c r="B186" s="561" t="s">
        <v>541</v>
      </c>
      <c r="C186" s="555" t="s">
        <v>21</v>
      </c>
      <c r="D186" s="555" t="s">
        <v>21</v>
      </c>
      <c r="E186" s="566">
        <f t="shared" si="21"/>
        <v>500</v>
      </c>
      <c r="F186" s="563"/>
      <c r="G186" s="563">
        <f t="shared" si="22"/>
        <v>500</v>
      </c>
      <c r="H186" s="563"/>
      <c r="I186" s="563"/>
      <c r="J186" s="563">
        <v>354.5</v>
      </c>
      <c r="K186" s="563">
        <v>145.5</v>
      </c>
      <c r="L186" s="563"/>
      <c r="M186" s="563"/>
      <c r="N186" s="563"/>
      <c r="O186" s="563"/>
      <c r="P186" s="563"/>
      <c r="Q186" s="563"/>
      <c r="R186" s="563"/>
      <c r="S186" s="563"/>
      <c r="T186" s="563"/>
      <c r="U186" s="563"/>
      <c r="V186" s="564" t="s">
        <v>190</v>
      </c>
      <c r="W186" s="558"/>
    </row>
    <row r="187" spans="1:23">
      <c r="A187" s="675">
        <v>12</v>
      </c>
      <c r="B187" s="561" t="s">
        <v>542</v>
      </c>
      <c r="C187" s="555" t="s">
        <v>21</v>
      </c>
      <c r="D187" s="555" t="s">
        <v>21</v>
      </c>
      <c r="E187" s="566">
        <f t="shared" si="21"/>
        <v>17.47</v>
      </c>
      <c r="F187" s="563"/>
      <c r="G187" s="563">
        <f t="shared" si="22"/>
        <v>17.47</v>
      </c>
      <c r="H187" s="563"/>
      <c r="I187" s="563"/>
      <c r="J187" s="563">
        <v>10.4</v>
      </c>
      <c r="K187" s="563">
        <v>7.07</v>
      </c>
      <c r="L187" s="563"/>
      <c r="M187" s="563"/>
      <c r="N187" s="563"/>
      <c r="O187" s="563"/>
      <c r="P187" s="563"/>
      <c r="Q187" s="563"/>
      <c r="R187" s="563"/>
      <c r="S187" s="563"/>
      <c r="T187" s="563"/>
      <c r="U187" s="563"/>
      <c r="V187" s="564" t="s">
        <v>172</v>
      </c>
      <c r="W187" s="558"/>
    </row>
    <row r="188" spans="1:23" ht="30">
      <c r="A188" s="675">
        <v>13</v>
      </c>
      <c r="B188" s="601" t="s">
        <v>347</v>
      </c>
      <c r="C188" s="677" t="s">
        <v>66</v>
      </c>
      <c r="D188" s="677" t="s">
        <v>66</v>
      </c>
      <c r="E188" s="566">
        <f t="shared" ref="E188:E196" si="31">F188+G188</f>
        <v>4.4000000000000004</v>
      </c>
      <c r="F188" s="591"/>
      <c r="G188" s="563">
        <f t="shared" ref="G188:G196" si="32">SUM(H188:U188)</f>
        <v>4.4000000000000004</v>
      </c>
      <c r="H188" s="563"/>
      <c r="I188" s="563"/>
      <c r="J188" s="591">
        <v>4.4000000000000004</v>
      </c>
      <c r="K188" s="591"/>
      <c r="L188" s="591"/>
      <c r="M188" s="591"/>
      <c r="N188" s="591"/>
      <c r="O188" s="591"/>
      <c r="P188" s="591"/>
      <c r="Q188" s="591"/>
      <c r="R188" s="591"/>
      <c r="S188" s="591"/>
      <c r="T188" s="591"/>
      <c r="U188" s="591"/>
      <c r="V188" s="614" t="s">
        <v>191</v>
      </c>
      <c r="W188" s="769" t="s">
        <v>346</v>
      </c>
    </row>
    <row r="189" spans="1:23" ht="30">
      <c r="A189" s="675">
        <v>14</v>
      </c>
      <c r="B189" s="601" t="s">
        <v>345</v>
      </c>
      <c r="C189" s="677" t="s">
        <v>66</v>
      </c>
      <c r="D189" s="677" t="s">
        <v>66</v>
      </c>
      <c r="E189" s="566">
        <f t="shared" si="31"/>
        <v>4.5</v>
      </c>
      <c r="F189" s="591"/>
      <c r="G189" s="563">
        <f t="shared" si="32"/>
        <v>4.5</v>
      </c>
      <c r="H189" s="563"/>
      <c r="I189" s="563"/>
      <c r="J189" s="591">
        <v>4.5</v>
      </c>
      <c r="K189" s="591"/>
      <c r="L189" s="591"/>
      <c r="M189" s="591"/>
      <c r="N189" s="591"/>
      <c r="O189" s="591"/>
      <c r="P189" s="591"/>
      <c r="Q189" s="591"/>
      <c r="R189" s="591"/>
      <c r="S189" s="591"/>
      <c r="T189" s="591"/>
      <c r="U189" s="591"/>
      <c r="V189" s="614" t="s">
        <v>191</v>
      </c>
      <c r="W189" s="769"/>
    </row>
    <row r="190" spans="1:23" ht="30">
      <c r="A190" s="675">
        <v>15</v>
      </c>
      <c r="B190" s="678" t="s">
        <v>344</v>
      </c>
      <c r="C190" s="679" t="s">
        <v>41</v>
      </c>
      <c r="D190" s="679" t="s">
        <v>41</v>
      </c>
      <c r="E190" s="566">
        <f t="shared" si="31"/>
        <v>0.5</v>
      </c>
      <c r="F190" s="590"/>
      <c r="G190" s="563">
        <f t="shared" si="32"/>
        <v>0.5</v>
      </c>
      <c r="H190" s="563"/>
      <c r="I190" s="563"/>
      <c r="J190" s="591"/>
      <c r="K190" s="591">
        <v>0.5</v>
      </c>
      <c r="L190" s="591"/>
      <c r="M190" s="591"/>
      <c r="N190" s="591"/>
      <c r="O190" s="591"/>
      <c r="P190" s="591"/>
      <c r="Q190" s="591"/>
      <c r="R190" s="591"/>
      <c r="S190" s="591"/>
      <c r="T190" s="591"/>
      <c r="U190" s="591"/>
      <c r="V190" s="592" t="s">
        <v>189</v>
      </c>
      <c r="W190" s="558" t="s">
        <v>319</v>
      </c>
    </row>
    <row r="191" spans="1:23" ht="60">
      <c r="A191" s="675">
        <v>16</v>
      </c>
      <c r="B191" s="558" t="s">
        <v>535</v>
      </c>
      <c r="C191" s="555" t="s">
        <v>78</v>
      </c>
      <c r="D191" s="555" t="s">
        <v>78</v>
      </c>
      <c r="E191" s="566">
        <f t="shared" si="31"/>
        <v>0.5</v>
      </c>
      <c r="F191" s="590"/>
      <c r="G191" s="563">
        <f t="shared" si="32"/>
        <v>0.5</v>
      </c>
      <c r="H191" s="563"/>
      <c r="I191" s="563"/>
      <c r="J191" s="567"/>
      <c r="K191" s="567"/>
      <c r="L191" s="567"/>
      <c r="M191" s="567"/>
      <c r="N191" s="567">
        <v>0.5</v>
      </c>
      <c r="O191" s="567"/>
      <c r="P191" s="567"/>
      <c r="Q191" s="567"/>
      <c r="R191" s="567"/>
      <c r="S191" s="567"/>
      <c r="T191" s="567"/>
      <c r="U191" s="567"/>
      <c r="V191" s="568" t="s">
        <v>174</v>
      </c>
      <c r="W191" s="680" t="s">
        <v>532</v>
      </c>
    </row>
    <row r="192" spans="1:23" ht="105">
      <c r="A192" s="675">
        <v>17</v>
      </c>
      <c r="B192" s="558" t="s">
        <v>536</v>
      </c>
      <c r="C192" s="555" t="s">
        <v>78</v>
      </c>
      <c r="D192" s="555" t="s">
        <v>78</v>
      </c>
      <c r="E192" s="566">
        <f t="shared" si="31"/>
        <v>0.5</v>
      </c>
      <c r="F192" s="590"/>
      <c r="G192" s="563">
        <f t="shared" si="32"/>
        <v>0.5</v>
      </c>
      <c r="H192" s="563"/>
      <c r="I192" s="563"/>
      <c r="J192" s="567"/>
      <c r="K192" s="567"/>
      <c r="L192" s="567"/>
      <c r="M192" s="567"/>
      <c r="N192" s="567">
        <v>0.5</v>
      </c>
      <c r="O192" s="567"/>
      <c r="P192" s="567"/>
      <c r="Q192" s="567"/>
      <c r="R192" s="567"/>
      <c r="S192" s="567"/>
      <c r="T192" s="567"/>
      <c r="U192" s="567"/>
      <c r="V192" s="568" t="s">
        <v>174</v>
      </c>
      <c r="W192" s="680" t="s">
        <v>533</v>
      </c>
    </row>
    <row r="193" spans="1:23" ht="60">
      <c r="A193" s="675">
        <v>18</v>
      </c>
      <c r="B193" s="558" t="s">
        <v>537</v>
      </c>
      <c r="C193" s="555" t="s">
        <v>78</v>
      </c>
      <c r="D193" s="555" t="s">
        <v>78</v>
      </c>
      <c r="E193" s="566">
        <f t="shared" si="31"/>
        <v>0.05</v>
      </c>
      <c r="F193" s="590"/>
      <c r="G193" s="563">
        <f t="shared" si="32"/>
        <v>0.05</v>
      </c>
      <c r="H193" s="563"/>
      <c r="I193" s="563"/>
      <c r="J193" s="567"/>
      <c r="K193" s="567"/>
      <c r="L193" s="567"/>
      <c r="M193" s="567"/>
      <c r="N193" s="567">
        <v>0.05</v>
      </c>
      <c r="O193" s="567"/>
      <c r="P193" s="567"/>
      <c r="Q193" s="567"/>
      <c r="R193" s="567"/>
      <c r="S193" s="567"/>
      <c r="T193" s="567"/>
      <c r="U193" s="567"/>
      <c r="V193" s="568" t="s">
        <v>174</v>
      </c>
      <c r="W193" s="680" t="s">
        <v>534</v>
      </c>
    </row>
    <row r="194" spans="1:23" ht="75">
      <c r="A194" s="675">
        <v>19</v>
      </c>
      <c r="B194" s="558" t="s">
        <v>538</v>
      </c>
      <c r="C194" s="555" t="s">
        <v>78</v>
      </c>
      <c r="D194" s="555" t="s">
        <v>78</v>
      </c>
      <c r="E194" s="566">
        <f t="shared" si="31"/>
        <v>0.05</v>
      </c>
      <c r="F194" s="590"/>
      <c r="G194" s="563">
        <f t="shared" si="32"/>
        <v>0.05</v>
      </c>
      <c r="H194" s="563"/>
      <c r="I194" s="563"/>
      <c r="J194" s="567"/>
      <c r="K194" s="567"/>
      <c r="L194" s="567"/>
      <c r="M194" s="567"/>
      <c r="N194" s="567">
        <v>0.05</v>
      </c>
      <c r="O194" s="567"/>
      <c r="P194" s="567"/>
      <c r="Q194" s="567"/>
      <c r="R194" s="567"/>
      <c r="S194" s="567"/>
      <c r="T194" s="567"/>
      <c r="U194" s="567"/>
      <c r="V194" s="568" t="s">
        <v>169</v>
      </c>
      <c r="W194" s="680" t="s">
        <v>529</v>
      </c>
    </row>
    <row r="195" spans="1:23" ht="75">
      <c r="A195" s="675">
        <v>20</v>
      </c>
      <c r="B195" s="558" t="s">
        <v>539</v>
      </c>
      <c r="C195" s="555" t="s">
        <v>78</v>
      </c>
      <c r="D195" s="555" t="s">
        <v>78</v>
      </c>
      <c r="E195" s="566">
        <f t="shared" si="31"/>
        <v>0.05</v>
      </c>
      <c r="F195" s="590"/>
      <c r="G195" s="563">
        <f t="shared" si="32"/>
        <v>0.05</v>
      </c>
      <c r="H195" s="563"/>
      <c r="I195" s="563"/>
      <c r="J195" s="567"/>
      <c r="K195" s="567"/>
      <c r="L195" s="567"/>
      <c r="M195" s="567"/>
      <c r="N195" s="567"/>
      <c r="O195" s="567"/>
      <c r="P195" s="567"/>
      <c r="Q195" s="567"/>
      <c r="R195" s="567"/>
      <c r="S195" s="567"/>
      <c r="T195" s="567"/>
      <c r="U195" s="567">
        <v>0.05</v>
      </c>
      <c r="V195" s="568" t="s">
        <v>169</v>
      </c>
      <c r="W195" s="680" t="s">
        <v>530</v>
      </c>
    </row>
    <row r="196" spans="1:23" ht="90">
      <c r="A196" s="675">
        <v>21</v>
      </c>
      <c r="B196" s="558" t="s">
        <v>540</v>
      </c>
      <c r="C196" s="555" t="s">
        <v>78</v>
      </c>
      <c r="D196" s="555" t="s">
        <v>78</v>
      </c>
      <c r="E196" s="566">
        <f t="shared" si="31"/>
        <v>0.05</v>
      </c>
      <c r="F196" s="590"/>
      <c r="G196" s="563">
        <f t="shared" si="32"/>
        <v>0.05</v>
      </c>
      <c r="H196" s="563"/>
      <c r="I196" s="563"/>
      <c r="J196" s="567"/>
      <c r="K196" s="567"/>
      <c r="L196" s="567"/>
      <c r="M196" s="567">
        <v>0.05</v>
      </c>
      <c r="N196" s="567"/>
      <c r="O196" s="567"/>
      <c r="P196" s="567"/>
      <c r="Q196" s="567"/>
      <c r="R196" s="567"/>
      <c r="S196" s="567"/>
      <c r="T196" s="567"/>
      <c r="U196" s="567"/>
      <c r="V196" s="568" t="s">
        <v>169</v>
      </c>
      <c r="W196" s="680" t="s">
        <v>531</v>
      </c>
    </row>
    <row r="197" spans="1:23" ht="60">
      <c r="A197" s="681"/>
      <c r="B197" s="670" t="s">
        <v>343</v>
      </c>
      <c r="C197" s="682"/>
      <c r="D197" s="682"/>
      <c r="E197" s="566">
        <f t="shared" ref="E197:E210" si="33">F197+G197</f>
        <v>0</v>
      </c>
      <c r="F197" s="683"/>
      <c r="G197" s="563">
        <f t="shared" ref="G197:G210" si="34">SUM(H197:U197)</f>
        <v>0</v>
      </c>
      <c r="H197" s="563"/>
      <c r="I197" s="563"/>
      <c r="J197" s="591"/>
      <c r="K197" s="591"/>
      <c r="L197" s="591"/>
      <c r="M197" s="591"/>
      <c r="N197" s="591"/>
      <c r="O197" s="591"/>
      <c r="P197" s="591"/>
      <c r="Q197" s="591"/>
      <c r="R197" s="591"/>
      <c r="S197" s="591"/>
      <c r="T197" s="591"/>
      <c r="U197" s="591"/>
      <c r="V197" s="684"/>
      <c r="W197" s="558"/>
    </row>
    <row r="198" spans="1:23" ht="45">
      <c r="A198" s="681">
        <v>1</v>
      </c>
      <c r="B198" s="656" t="s">
        <v>340</v>
      </c>
      <c r="C198" s="682" t="s">
        <v>53</v>
      </c>
      <c r="D198" s="682" t="s">
        <v>53</v>
      </c>
      <c r="E198" s="566">
        <f t="shared" si="33"/>
        <v>2.2000000000000002</v>
      </c>
      <c r="F198" s="683"/>
      <c r="G198" s="563">
        <f t="shared" si="34"/>
        <v>2.2000000000000002</v>
      </c>
      <c r="H198" s="563"/>
      <c r="I198" s="563"/>
      <c r="J198" s="591">
        <v>1</v>
      </c>
      <c r="K198" s="591">
        <v>1.2</v>
      </c>
      <c r="L198" s="591"/>
      <c r="M198" s="591"/>
      <c r="N198" s="591"/>
      <c r="O198" s="591"/>
      <c r="P198" s="591"/>
      <c r="Q198" s="591"/>
      <c r="R198" s="591"/>
      <c r="S198" s="591"/>
      <c r="T198" s="591"/>
      <c r="U198" s="591"/>
      <c r="V198" s="684" t="s">
        <v>169</v>
      </c>
      <c r="W198" s="685" t="s">
        <v>319</v>
      </c>
    </row>
    <row r="199" spans="1:23" ht="45">
      <c r="A199" s="681">
        <v>2</v>
      </c>
      <c r="B199" s="656" t="s">
        <v>340</v>
      </c>
      <c r="C199" s="682" t="s">
        <v>55</v>
      </c>
      <c r="D199" s="682" t="s">
        <v>55</v>
      </c>
      <c r="E199" s="566">
        <f t="shared" si="33"/>
        <v>3.7</v>
      </c>
      <c r="F199" s="683"/>
      <c r="G199" s="563">
        <f t="shared" si="34"/>
        <v>3.7</v>
      </c>
      <c r="H199" s="563"/>
      <c r="I199" s="563"/>
      <c r="J199" s="591">
        <v>1.7</v>
      </c>
      <c r="K199" s="591">
        <v>2</v>
      </c>
      <c r="L199" s="591"/>
      <c r="M199" s="591"/>
      <c r="N199" s="591"/>
      <c r="O199" s="591"/>
      <c r="P199" s="591"/>
      <c r="Q199" s="591"/>
      <c r="R199" s="591"/>
      <c r="S199" s="591"/>
      <c r="T199" s="591"/>
      <c r="U199" s="591"/>
      <c r="V199" s="684" t="s">
        <v>168</v>
      </c>
      <c r="W199" s="685" t="s">
        <v>319</v>
      </c>
    </row>
    <row r="200" spans="1:23" ht="45">
      <c r="A200" s="681">
        <v>3</v>
      </c>
      <c r="B200" s="656" t="s">
        <v>340</v>
      </c>
      <c r="C200" s="682" t="s">
        <v>53</v>
      </c>
      <c r="D200" s="682" t="s">
        <v>53</v>
      </c>
      <c r="E200" s="566">
        <f t="shared" si="33"/>
        <v>3</v>
      </c>
      <c r="F200" s="683"/>
      <c r="G200" s="563">
        <f t="shared" si="34"/>
        <v>3</v>
      </c>
      <c r="H200" s="563"/>
      <c r="I200" s="563"/>
      <c r="J200" s="591">
        <v>1</v>
      </c>
      <c r="K200" s="591">
        <v>2</v>
      </c>
      <c r="L200" s="591"/>
      <c r="M200" s="591"/>
      <c r="N200" s="591"/>
      <c r="O200" s="591"/>
      <c r="P200" s="591"/>
      <c r="Q200" s="591"/>
      <c r="R200" s="591"/>
      <c r="S200" s="591"/>
      <c r="T200" s="591"/>
      <c r="U200" s="591"/>
      <c r="V200" s="684" t="s">
        <v>171</v>
      </c>
      <c r="W200" s="685" t="s">
        <v>319</v>
      </c>
    </row>
    <row r="201" spans="1:23" ht="45">
      <c r="A201" s="681">
        <v>4</v>
      </c>
      <c r="B201" s="656" t="s">
        <v>340</v>
      </c>
      <c r="C201" s="682" t="s">
        <v>53</v>
      </c>
      <c r="D201" s="682" t="s">
        <v>53</v>
      </c>
      <c r="E201" s="566">
        <f t="shared" si="33"/>
        <v>3</v>
      </c>
      <c r="F201" s="683"/>
      <c r="G201" s="563">
        <f t="shared" si="34"/>
        <v>3</v>
      </c>
      <c r="H201" s="563"/>
      <c r="I201" s="563"/>
      <c r="J201" s="591">
        <v>1</v>
      </c>
      <c r="K201" s="591">
        <v>2</v>
      </c>
      <c r="L201" s="591"/>
      <c r="M201" s="591"/>
      <c r="N201" s="591"/>
      <c r="O201" s="591"/>
      <c r="P201" s="591"/>
      <c r="Q201" s="591"/>
      <c r="R201" s="591"/>
      <c r="S201" s="591"/>
      <c r="T201" s="591"/>
      <c r="U201" s="591"/>
      <c r="V201" s="684" t="s">
        <v>172</v>
      </c>
      <c r="W201" s="685" t="s">
        <v>319</v>
      </c>
    </row>
    <row r="202" spans="1:23" ht="45">
      <c r="A202" s="681">
        <v>5</v>
      </c>
      <c r="B202" s="656" t="s">
        <v>340</v>
      </c>
      <c r="C202" s="682" t="s">
        <v>53</v>
      </c>
      <c r="D202" s="682" t="s">
        <v>53</v>
      </c>
      <c r="E202" s="566">
        <f t="shared" si="33"/>
        <v>3</v>
      </c>
      <c r="F202" s="683"/>
      <c r="G202" s="563">
        <f t="shared" si="34"/>
        <v>3</v>
      </c>
      <c r="H202" s="563"/>
      <c r="I202" s="563"/>
      <c r="J202" s="591">
        <v>1</v>
      </c>
      <c r="K202" s="591">
        <v>2</v>
      </c>
      <c r="L202" s="591"/>
      <c r="M202" s="591"/>
      <c r="N202" s="591"/>
      <c r="O202" s="591"/>
      <c r="P202" s="591"/>
      <c r="Q202" s="591"/>
      <c r="R202" s="591"/>
      <c r="S202" s="591"/>
      <c r="T202" s="591"/>
      <c r="U202" s="591"/>
      <c r="V202" s="684" t="s">
        <v>190</v>
      </c>
      <c r="W202" s="685" t="s">
        <v>319</v>
      </c>
    </row>
    <row r="203" spans="1:23" ht="30">
      <c r="A203" s="681">
        <v>6</v>
      </c>
      <c r="B203" s="656" t="s">
        <v>342</v>
      </c>
      <c r="C203" s="682" t="s">
        <v>53</v>
      </c>
      <c r="D203" s="682" t="s">
        <v>53</v>
      </c>
      <c r="E203" s="566">
        <f t="shared" si="33"/>
        <v>2</v>
      </c>
      <c r="F203" s="683">
        <v>2</v>
      </c>
      <c r="G203" s="563">
        <f t="shared" si="34"/>
        <v>0</v>
      </c>
      <c r="H203" s="563"/>
      <c r="I203" s="563"/>
      <c r="J203" s="591"/>
      <c r="K203" s="591"/>
      <c r="L203" s="591"/>
      <c r="M203" s="591"/>
      <c r="N203" s="591"/>
      <c r="O203" s="591"/>
      <c r="P203" s="591"/>
      <c r="Q203" s="591"/>
      <c r="R203" s="591"/>
      <c r="S203" s="591"/>
      <c r="T203" s="591"/>
      <c r="U203" s="591"/>
      <c r="V203" s="684" t="s">
        <v>190</v>
      </c>
      <c r="W203" s="685" t="s">
        <v>319</v>
      </c>
    </row>
    <row r="204" spans="1:23" ht="45">
      <c r="A204" s="681">
        <v>7</v>
      </c>
      <c r="B204" s="656" t="s">
        <v>341</v>
      </c>
      <c r="C204" s="682" t="s">
        <v>53</v>
      </c>
      <c r="D204" s="682" t="s">
        <v>53</v>
      </c>
      <c r="E204" s="566">
        <f t="shared" si="33"/>
        <v>2</v>
      </c>
      <c r="F204" s="683">
        <v>2</v>
      </c>
      <c r="G204" s="563">
        <f t="shared" si="34"/>
        <v>0</v>
      </c>
      <c r="H204" s="563"/>
      <c r="I204" s="563"/>
      <c r="J204" s="591"/>
      <c r="K204" s="591"/>
      <c r="L204" s="591"/>
      <c r="M204" s="591"/>
      <c r="N204" s="591"/>
      <c r="O204" s="591"/>
      <c r="P204" s="591"/>
      <c r="Q204" s="591"/>
      <c r="R204" s="591"/>
      <c r="S204" s="591"/>
      <c r="T204" s="591"/>
      <c r="U204" s="591"/>
      <c r="V204" s="684" t="s">
        <v>190</v>
      </c>
      <c r="W204" s="685" t="s">
        <v>319</v>
      </c>
    </row>
    <row r="205" spans="1:23" ht="45">
      <c r="A205" s="681">
        <v>8</v>
      </c>
      <c r="B205" s="656" t="s">
        <v>340</v>
      </c>
      <c r="C205" s="682" t="s">
        <v>53</v>
      </c>
      <c r="D205" s="682" t="s">
        <v>53</v>
      </c>
      <c r="E205" s="566">
        <f t="shared" si="33"/>
        <v>3</v>
      </c>
      <c r="F205" s="683"/>
      <c r="G205" s="563">
        <f t="shared" si="34"/>
        <v>3</v>
      </c>
      <c r="H205" s="563"/>
      <c r="I205" s="563"/>
      <c r="J205" s="591">
        <v>1</v>
      </c>
      <c r="K205" s="591">
        <v>2</v>
      </c>
      <c r="L205" s="591"/>
      <c r="M205" s="591"/>
      <c r="N205" s="591"/>
      <c r="O205" s="591"/>
      <c r="P205" s="591"/>
      <c r="Q205" s="591"/>
      <c r="R205" s="591"/>
      <c r="S205" s="591"/>
      <c r="T205" s="591"/>
      <c r="U205" s="591"/>
      <c r="V205" s="684" t="s">
        <v>191</v>
      </c>
      <c r="W205" s="685" t="s">
        <v>319</v>
      </c>
    </row>
    <row r="206" spans="1:23" ht="45">
      <c r="A206" s="681">
        <v>9</v>
      </c>
      <c r="B206" s="656" t="s">
        <v>340</v>
      </c>
      <c r="C206" s="682" t="s">
        <v>53</v>
      </c>
      <c r="D206" s="682" t="s">
        <v>53</v>
      </c>
      <c r="E206" s="566">
        <f t="shared" si="33"/>
        <v>2</v>
      </c>
      <c r="F206" s="683"/>
      <c r="G206" s="563">
        <f t="shared" si="34"/>
        <v>2</v>
      </c>
      <c r="H206" s="563"/>
      <c r="I206" s="563"/>
      <c r="J206" s="591">
        <v>0.5</v>
      </c>
      <c r="K206" s="591">
        <v>1.5</v>
      </c>
      <c r="L206" s="591"/>
      <c r="M206" s="591"/>
      <c r="N206" s="591"/>
      <c r="O206" s="591"/>
      <c r="P206" s="591"/>
      <c r="Q206" s="591"/>
      <c r="R206" s="591"/>
      <c r="S206" s="591"/>
      <c r="T206" s="591"/>
      <c r="U206" s="591"/>
      <c r="V206" s="684" t="s">
        <v>170</v>
      </c>
      <c r="W206" s="685" t="s">
        <v>319</v>
      </c>
    </row>
    <row r="207" spans="1:23" ht="45">
      <c r="A207" s="681">
        <v>10</v>
      </c>
      <c r="B207" s="656" t="s">
        <v>340</v>
      </c>
      <c r="C207" s="682" t="s">
        <v>53</v>
      </c>
      <c r="D207" s="682" t="s">
        <v>53</v>
      </c>
      <c r="E207" s="566">
        <f t="shared" si="33"/>
        <v>4</v>
      </c>
      <c r="F207" s="683"/>
      <c r="G207" s="563">
        <f t="shared" si="34"/>
        <v>4</v>
      </c>
      <c r="H207" s="563"/>
      <c r="I207" s="563"/>
      <c r="J207" s="591">
        <v>1</v>
      </c>
      <c r="K207" s="591">
        <v>3</v>
      </c>
      <c r="L207" s="591"/>
      <c r="M207" s="591"/>
      <c r="N207" s="591"/>
      <c r="O207" s="591"/>
      <c r="P207" s="591"/>
      <c r="Q207" s="591"/>
      <c r="R207" s="591"/>
      <c r="S207" s="591"/>
      <c r="T207" s="591"/>
      <c r="U207" s="591"/>
      <c r="V207" s="684" t="s">
        <v>197</v>
      </c>
      <c r="W207" s="685" t="s">
        <v>319</v>
      </c>
    </row>
    <row r="208" spans="1:23" ht="45">
      <c r="A208" s="681">
        <v>11</v>
      </c>
      <c r="B208" s="656" t="s">
        <v>340</v>
      </c>
      <c r="C208" s="682" t="s">
        <v>53</v>
      </c>
      <c r="D208" s="682" t="s">
        <v>53</v>
      </c>
      <c r="E208" s="566">
        <f t="shared" si="33"/>
        <v>0.5</v>
      </c>
      <c r="F208" s="683"/>
      <c r="G208" s="563">
        <f t="shared" si="34"/>
        <v>0.5</v>
      </c>
      <c r="H208" s="563"/>
      <c r="I208" s="563"/>
      <c r="J208" s="591">
        <v>0.3</v>
      </c>
      <c r="K208" s="591">
        <v>0.2</v>
      </c>
      <c r="L208" s="591"/>
      <c r="M208" s="591"/>
      <c r="N208" s="591"/>
      <c r="O208" s="591"/>
      <c r="P208" s="591"/>
      <c r="Q208" s="591"/>
      <c r="R208" s="591"/>
      <c r="S208" s="591"/>
      <c r="T208" s="591"/>
      <c r="U208" s="591"/>
      <c r="V208" s="684" t="s">
        <v>189</v>
      </c>
      <c r="W208" s="685" t="s">
        <v>319</v>
      </c>
    </row>
    <row r="209" spans="1:23" ht="45">
      <c r="A209" s="681">
        <v>12</v>
      </c>
      <c r="B209" s="656" t="s">
        <v>340</v>
      </c>
      <c r="C209" s="682" t="s">
        <v>53</v>
      </c>
      <c r="D209" s="682" t="s">
        <v>53</v>
      </c>
      <c r="E209" s="566">
        <f t="shared" si="33"/>
        <v>0.5</v>
      </c>
      <c r="F209" s="683"/>
      <c r="G209" s="563">
        <f t="shared" si="34"/>
        <v>0.5</v>
      </c>
      <c r="H209" s="563"/>
      <c r="I209" s="563"/>
      <c r="J209" s="591">
        <v>0.25</v>
      </c>
      <c r="K209" s="591">
        <v>0.25</v>
      </c>
      <c r="L209" s="591"/>
      <c r="M209" s="591"/>
      <c r="N209" s="591"/>
      <c r="O209" s="591"/>
      <c r="P209" s="591"/>
      <c r="Q209" s="591"/>
      <c r="R209" s="591"/>
      <c r="S209" s="591"/>
      <c r="T209" s="591"/>
      <c r="U209" s="591"/>
      <c r="V209" s="684" t="s">
        <v>173</v>
      </c>
      <c r="W209" s="685" t="s">
        <v>319</v>
      </c>
    </row>
    <row r="210" spans="1:23" ht="45">
      <c r="A210" s="681">
        <v>13</v>
      </c>
      <c r="B210" s="656" t="s">
        <v>340</v>
      </c>
      <c r="C210" s="682" t="s">
        <v>53</v>
      </c>
      <c r="D210" s="682" t="s">
        <v>53</v>
      </c>
      <c r="E210" s="566">
        <f t="shared" si="33"/>
        <v>1.2</v>
      </c>
      <c r="F210" s="683"/>
      <c r="G210" s="563">
        <f t="shared" si="34"/>
        <v>1.2</v>
      </c>
      <c r="H210" s="563"/>
      <c r="I210" s="563"/>
      <c r="J210" s="591">
        <v>0.2</v>
      </c>
      <c r="K210" s="591">
        <v>1</v>
      </c>
      <c r="L210" s="591"/>
      <c r="M210" s="591"/>
      <c r="N210" s="591"/>
      <c r="O210" s="591"/>
      <c r="P210" s="591"/>
      <c r="Q210" s="591"/>
      <c r="R210" s="591"/>
      <c r="S210" s="591"/>
      <c r="T210" s="591"/>
      <c r="U210" s="591"/>
      <c r="V210" s="684" t="s">
        <v>174</v>
      </c>
      <c r="W210" s="685" t="s">
        <v>319</v>
      </c>
    </row>
    <row r="211" spans="1:23" ht="28.5">
      <c r="A211" s="681"/>
      <c r="B211" s="686" t="s">
        <v>339</v>
      </c>
      <c r="C211" s="682"/>
      <c r="D211" s="682"/>
      <c r="E211" s="566"/>
      <c r="F211" s="683"/>
      <c r="G211" s="563"/>
      <c r="H211" s="563"/>
      <c r="I211" s="563"/>
      <c r="J211" s="591"/>
      <c r="K211" s="591"/>
      <c r="L211" s="591"/>
      <c r="M211" s="591"/>
      <c r="N211" s="591"/>
      <c r="O211" s="591"/>
      <c r="P211" s="591"/>
      <c r="Q211" s="591"/>
      <c r="R211" s="591"/>
      <c r="S211" s="591"/>
      <c r="T211" s="591"/>
      <c r="U211" s="591"/>
      <c r="V211" s="684"/>
      <c r="W211" s="685"/>
    </row>
    <row r="212" spans="1:23" s="688" customFormat="1" ht="45">
      <c r="A212" s="681">
        <v>1</v>
      </c>
      <c r="B212" s="558" t="s">
        <v>338</v>
      </c>
      <c r="C212" s="565" t="s">
        <v>15</v>
      </c>
      <c r="D212" s="565" t="s">
        <v>15</v>
      </c>
      <c r="E212" s="566">
        <f t="shared" ref="E212:E229" si="35">F212+G212</f>
        <v>3</v>
      </c>
      <c r="F212" s="687"/>
      <c r="G212" s="563">
        <f t="shared" ref="G212:G229" si="36">SUM(H212:U212)</f>
        <v>3</v>
      </c>
      <c r="H212" s="563"/>
      <c r="I212" s="563"/>
      <c r="J212" s="592">
        <v>3</v>
      </c>
      <c r="K212" s="592"/>
      <c r="L212" s="592"/>
      <c r="M212" s="592"/>
      <c r="N212" s="592"/>
      <c r="O212" s="592"/>
      <c r="P212" s="592"/>
      <c r="Q212" s="592"/>
      <c r="R212" s="592"/>
      <c r="S212" s="592"/>
      <c r="T212" s="592"/>
      <c r="U212" s="592"/>
      <c r="V212" s="617" t="s">
        <v>168</v>
      </c>
      <c r="W212" s="685" t="s">
        <v>319</v>
      </c>
    </row>
    <row r="213" spans="1:23" s="688" customFormat="1" ht="30">
      <c r="A213" s="681">
        <v>2</v>
      </c>
      <c r="B213" s="558" t="s">
        <v>337</v>
      </c>
      <c r="C213" s="565" t="s">
        <v>15</v>
      </c>
      <c r="D213" s="565" t="s">
        <v>15</v>
      </c>
      <c r="E213" s="566">
        <f t="shared" si="35"/>
        <v>6</v>
      </c>
      <c r="F213" s="687"/>
      <c r="G213" s="563">
        <f t="shared" si="36"/>
        <v>6</v>
      </c>
      <c r="H213" s="563"/>
      <c r="I213" s="563"/>
      <c r="J213" s="592">
        <v>5</v>
      </c>
      <c r="K213" s="592"/>
      <c r="L213" s="592"/>
      <c r="M213" s="592"/>
      <c r="N213" s="592"/>
      <c r="O213" s="592"/>
      <c r="P213" s="592"/>
      <c r="Q213" s="592"/>
      <c r="R213" s="592"/>
      <c r="S213" s="592"/>
      <c r="T213" s="592"/>
      <c r="U213" s="592">
        <v>1</v>
      </c>
      <c r="V213" s="617" t="s">
        <v>170</v>
      </c>
      <c r="W213" s="685" t="s">
        <v>319</v>
      </c>
    </row>
    <row r="214" spans="1:23" s="688" customFormat="1" ht="30">
      <c r="A214" s="681">
        <v>3</v>
      </c>
      <c r="B214" s="558" t="s">
        <v>336</v>
      </c>
      <c r="C214" s="565" t="s">
        <v>15</v>
      </c>
      <c r="D214" s="565" t="s">
        <v>15</v>
      </c>
      <c r="E214" s="566">
        <f t="shared" si="35"/>
        <v>5</v>
      </c>
      <c r="F214" s="687"/>
      <c r="G214" s="563">
        <f t="shared" si="36"/>
        <v>5</v>
      </c>
      <c r="H214" s="563"/>
      <c r="I214" s="563"/>
      <c r="J214" s="592">
        <v>5</v>
      </c>
      <c r="K214" s="592"/>
      <c r="L214" s="592"/>
      <c r="M214" s="592"/>
      <c r="N214" s="592"/>
      <c r="O214" s="592"/>
      <c r="P214" s="592"/>
      <c r="Q214" s="592"/>
      <c r="R214" s="592"/>
      <c r="S214" s="592"/>
      <c r="T214" s="592"/>
      <c r="U214" s="592"/>
      <c r="V214" s="617" t="s">
        <v>197</v>
      </c>
      <c r="W214" s="685" t="s">
        <v>319</v>
      </c>
    </row>
    <row r="215" spans="1:23" s="688" customFormat="1" ht="30">
      <c r="A215" s="681">
        <v>4</v>
      </c>
      <c r="B215" s="558" t="s">
        <v>335</v>
      </c>
      <c r="C215" s="565" t="s">
        <v>15</v>
      </c>
      <c r="D215" s="565" t="s">
        <v>15</v>
      </c>
      <c r="E215" s="566">
        <f t="shared" si="35"/>
        <v>5</v>
      </c>
      <c r="F215" s="687"/>
      <c r="G215" s="563">
        <f t="shared" si="36"/>
        <v>5</v>
      </c>
      <c r="H215" s="563"/>
      <c r="I215" s="563"/>
      <c r="J215" s="592">
        <v>5</v>
      </c>
      <c r="K215" s="592"/>
      <c r="L215" s="592"/>
      <c r="M215" s="592"/>
      <c r="N215" s="592"/>
      <c r="O215" s="592"/>
      <c r="P215" s="592"/>
      <c r="Q215" s="592"/>
      <c r="R215" s="592"/>
      <c r="S215" s="592"/>
      <c r="T215" s="592"/>
      <c r="U215" s="592"/>
      <c r="V215" s="617" t="s">
        <v>190</v>
      </c>
      <c r="W215" s="685" t="s">
        <v>319</v>
      </c>
    </row>
    <row r="216" spans="1:23" s="688" customFormat="1" ht="30">
      <c r="A216" s="681">
        <v>5</v>
      </c>
      <c r="B216" s="558" t="s">
        <v>334</v>
      </c>
      <c r="C216" s="565" t="s">
        <v>15</v>
      </c>
      <c r="D216" s="565" t="s">
        <v>15</v>
      </c>
      <c r="E216" s="566">
        <f t="shared" si="35"/>
        <v>15</v>
      </c>
      <c r="F216" s="687"/>
      <c r="G216" s="563">
        <f t="shared" si="36"/>
        <v>15</v>
      </c>
      <c r="H216" s="563"/>
      <c r="I216" s="563"/>
      <c r="J216" s="592">
        <v>14</v>
      </c>
      <c r="K216" s="592"/>
      <c r="L216" s="592"/>
      <c r="M216" s="592"/>
      <c r="N216" s="592"/>
      <c r="O216" s="592"/>
      <c r="P216" s="592"/>
      <c r="Q216" s="592"/>
      <c r="R216" s="592"/>
      <c r="S216" s="592"/>
      <c r="T216" s="592"/>
      <c r="U216" s="592">
        <v>1</v>
      </c>
      <c r="V216" s="617" t="s">
        <v>169</v>
      </c>
      <c r="W216" s="685" t="s">
        <v>319</v>
      </c>
    </row>
    <row r="217" spans="1:23" s="688" customFormat="1" ht="30">
      <c r="A217" s="681">
        <v>6</v>
      </c>
      <c r="B217" s="558" t="s">
        <v>333</v>
      </c>
      <c r="C217" s="565" t="s">
        <v>15</v>
      </c>
      <c r="D217" s="565" t="s">
        <v>15</v>
      </c>
      <c r="E217" s="566">
        <f t="shared" si="35"/>
        <v>21</v>
      </c>
      <c r="F217" s="687"/>
      <c r="G217" s="563">
        <f t="shared" si="36"/>
        <v>21</v>
      </c>
      <c r="H217" s="563"/>
      <c r="I217" s="563"/>
      <c r="J217" s="592">
        <v>20</v>
      </c>
      <c r="K217" s="592"/>
      <c r="L217" s="592"/>
      <c r="M217" s="592"/>
      <c r="N217" s="592"/>
      <c r="O217" s="592"/>
      <c r="P217" s="592"/>
      <c r="Q217" s="592"/>
      <c r="R217" s="592"/>
      <c r="S217" s="592"/>
      <c r="T217" s="592"/>
      <c r="U217" s="592">
        <v>1</v>
      </c>
      <c r="V217" s="617" t="s">
        <v>191</v>
      </c>
      <c r="W217" s="685" t="s">
        <v>319</v>
      </c>
    </row>
    <row r="218" spans="1:23" s="688" customFormat="1" ht="30">
      <c r="A218" s="681">
        <v>7</v>
      </c>
      <c r="B218" s="558" t="s">
        <v>332</v>
      </c>
      <c r="C218" s="565" t="s">
        <v>15</v>
      </c>
      <c r="D218" s="565" t="s">
        <v>15</v>
      </c>
      <c r="E218" s="566">
        <f t="shared" si="35"/>
        <v>9</v>
      </c>
      <c r="F218" s="687"/>
      <c r="G218" s="563">
        <f t="shared" si="36"/>
        <v>9</v>
      </c>
      <c r="H218" s="563"/>
      <c r="I218" s="563"/>
      <c r="J218" s="592">
        <v>9</v>
      </c>
      <c r="K218" s="592"/>
      <c r="L218" s="592"/>
      <c r="M218" s="592"/>
      <c r="N218" s="592"/>
      <c r="O218" s="592"/>
      <c r="P218" s="592"/>
      <c r="Q218" s="592"/>
      <c r="R218" s="592"/>
      <c r="S218" s="592"/>
      <c r="T218" s="592"/>
      <c r="U218" s="592"/>
      <c r="V218" s="617" t="s">
        <v>171</v>
      </c>
      <c r="W218" s="685" t="s">
        <v>319</v>
      </c>
    </row>
    <row r="219" spans="1:23" s="688" customFormat="1" ht="30">
      <c r="A219" s="681">
        <v>8</v>
      </c>
      <c r="B219" s="558" t="s">
        <v>331</v>
      </c>
      <c r="C219" s="565" t="s">
        <v>15</v>
      </c>
      <c r="D219" s="565" t="s">
        <v>15</v>
      </c>
      <c r="E219" s="566">
        <f t="shared" si="35"/>
        <v>5</v>
      </c>
      <c r="F219" s="687"/>
      <c r="G219" s="563">
        <f t="shared" si="36"/>
        <v>5</v>
      </c>
      <c r="H219" s="563"/>
      <c r="I219" s="563"/>
      <c r="J219" s="592">
        <v>5</v>
      </c>
      <c r="K219" s="592"/>
      <c r="L219" s="592"/>
      <c r="M219" s="592"/>
      <c r="N219" s="592"/>
      <c r="O219" s="592"/>
      <c r="P219" s="592"/>
      <c r="Q219" s="592"/>
      <c r="R219" s="592"/>
      <c r="S219" s="592"/>
      <c r="T219" s="592"/>
      <c r="U219" s="592"/>
      <c r="V219" s="617" t="s">
        <v>172</v>
      </c>
      <c r="W219" s="685" t="s">
        <v>319</v>
      </c>
    </row>
    <row r="220" spans="1:23" s="688" customFormat="1" ht="30">
      <c r="A220" s="681">
        <v>9</v>
      </c>
      <c r="B220" s="558" t="s">
        <v>330</v>
      </c>
      <c r="C220" s="565" t="s">
        <v>15</v>
      </c>
      <c r="D220" s="565" t="s">
        <v>15</v>
      </c>
      <c r="E220" s="566">
        <f t="shared" si="35"/>
        <v>16</v>
      </c>
      <c r="F220" s="687"/>
      <c r="G220" s="563">
        <f t="shared" si="36"/>
        <v>16</v>
      </c>
      <c r="H220" s="563"/>
      <c r="I220" s="563"/>
      <c r="J220" s="592">
        <v>4</v>
      </c>
      <c r="K220" s="592"/>
      <c r="L220" s="592"/>
      <c r="M220" s="592"/>
      <c r="N220" s="592"/>
      <c r="O220" s="592"/>
      <c r="P220" s="592"/>
      <c r="Q220" s="592"/>
      <c r="R220" s="592"/>
      <c r="S220" s="592"/>
      <c r="T220" s="592"/>
      <c r="U220" s="592">
        <v>12</v>
      </c>
      <c r="V220" s="617" t="s">
        <v>173</v>
      </c>
      <c r="W220" s="685" t="s">
        <v>319</v>
      </c>
    </row>
    <row r="221" spans="1:23" s="688" customFormat="1" ht="30">
      <c r="A221" s="681">
        <v>10</v>
      </c>
      <c r="B221" s="558" t="s">
        <v>329</v>
      </c>
      <c r="C221" s="565" t="s">
        <v>15</v>
      </c>
      <c r="D221" s="565" t="s">
        <v>15</v>
      </c>
      <c r="E221" s="566">
        <f t="shared" si="35"/>
        <v>4</v>
      </c>
      <c r="F221" s="687"/>
      <c r="G221" s="563">
        <f t="shared" si="36"/>
        <v>4</v>
      </c>
      <c r="H221" s="563"/>
      <c r="I221" s="563"/>
      <c r="J221" s="592">
        <v>4</v>
      </c>
      <c r="K221" s="592"/>
      <c r="L221" s="592"/>
      <c r="M221" s="592"/>
      <c r="N221" s="592"/>
      <c r="O221" s="592"/>
      <c r="P221" s="592"/>
      <c r="Q221" s="592"/>
      <c r="R221" s="592"/>
      <c r="S221" s="592"/>
      <c r="T221" s="592"/>
      <c r="U221" s="592"/>
      <c r="V221" s="617" t="s">
        <v>174</v>
      </c>
      <c r="W221" s="685" t="s">
        <v>319</v>
      </c>
    </row>
    <row r="222" spans="1:23" s="688" customFormat="1" ht="30">
      <c r="A222" s="681">
        <v>11</v>
      </c>
      <c r="B222" s="558" t="s">
        <v>328</v>
      </c>
      <c r="C222" s="565" t="s">
        <v>15</v>
      </c>
      <c r="D222" s="565" t="s">
        <v>15</v>
      </c>
      <c r="E222" s="566">
        <f t="shared" si="35"/>
        <v>4</v>
      </c>
      <c r="F222" s="687"/>
      <c r="G222" s="563">
        <f t="shared" si="36"/>
        <v>4</v>
      </c>
      <c r="H222" s="563"/>
      <c r="I222" s="563"/>
      <c r="J222" s="592">
        <v>4</v>
      </c>
      <c r="K222" s="592"/>
      <c r="L222" s="592"/>
      <c r="M222" s="592"/>
      <c r="N222" s="592"/>
      <c r="O222" s="592"/>
      <c r="P222" s="592"/>
      <c r="Q222" s="592"/>
      <c r="R222" s="592"/>
      <c r="S222" s="592"/>
      <c r="T222" s="592"/>
      <c r="U222" s="592"/>
      <c r="V222" s="617" t="s">
        <v>189</v>
      </c>
      <c r="W222" s="685" t="s">
        <v>319</v>
      </c>
    </row>
    <row r="223" spans="1:23" s="688" customFormat="1" ht="45">
      <c r="A223" s="681">
        <v>12</v>
      </c>
      <c r="B223" s="558" t="s">
        <v>327</v>
      </c>
      <c r="C223" s="565" t="s">
        <v>23</v>
      </c>
      <c r="D223" s="565" t="s">
        <v>23</v>
      </c>
      <c r="E223" s="566">
        <f t="shared" si="35"/>
        <v>1.03</v>
      </c>
      <c r="F223" s="687"/>
      <c r="G223" s="563">
        <f t="shared" si="36"/>
        <v>1.03</v>
      </c>
      <c r="H223" s="563"/>
      <c r="I223" s="563"/>
      <c r="J223" s="592">
        <v>0.51</v>
      </c>
      <c r="K223" s="592">
        <v>0.52</v>
      </c>
      <c r="L223" s="592"/>
      <c r="M223" s="592"/>
      <c r="N223" s="592"/>
      <c r="O223" s="592"/>
      <c r="P223" s="592"/>
      <c r="Q223" s="592"/>
      <c r="R223" s="592"/>
      <c r="S223" s="592"/>
      <c r="T223" s="592"/>
      <c r="U223" s="592"/>
      <c r="V223" s="617" t="s">
        <v>168</v>
      </c>
      <c r="W223" s="685" t="s">
        <v>319</v>
      </c>
    </row>
    <row r="224" spans="1:23" s="688" customFormat="1" ht="30">
      <c r="A224" s="681">
        <v>13</v>
      </c>
      <c r="B224" s="558" t="s">
        <v>326</v>
      </c>
      <c r="C224" s="565" t="s">
        <v>23</v>
      </c>
      <c r="D224" s="565" t="s">
        <v>23</v>
      </c>
      <c r="E224" s="566">
        <f t="shared" si="35"/>
        <v>1.03</v>
      </c>
      <c r="F224" s="687"/>
      <c r="G224" s="563">
        <f t="shared" si="36"/>
        <v>1.03</v>
      </c>
      <c r="H224" s="563"/>
      <c r="I224" s="563"/>
      <c r="J224" s="592">
        <v>0.51</v>
      </c>
      <c r="K224" s="592">
        <v>0.52</v>
      </c>
      <c r="L224" s="592"/>
      <c r="M224" s="592"/>
      <c r="N224" s="592"/>
      <c r="O224" s="592"/>
      <c r="P224" s="592"/>
      <c r="Q224" s="592"/>
      <c r="R224" s="592"/>
      <c r="S224" s="592"/>
      <c r="T224" s="592"/>
      <c r="U224" s="592"/>
      <c r="V224" s="617" t="s">
        <v>170</v>
      </c>
      <c r="W224" s="685" t="s">
        <v>319</v>
      </c>
    </row>
    <row r="225" spans="1:23" s="688" customFormat="1" ht="45">
      <c r="A225" s="681">
        <v>14</v>
      </c>
      <c r="B225" s="558" t="s">
        <v>325</v>
      </c>
      <c r="C225" s="565" t="s">
        <v>23</v>
      </c>
      <c r="D225" s="565" t="s">
        <v>23</v>
      </c>
      <c r="E225" s="566">
        <f t="shared" si="35"/>
        <v>1.03</v>
      </c>
      <c r="F225" s="687"/>
      <c r="G225" s="563">
        <f t="shared" si="36"/>
        <v>1.03</v>
      </c>
      <c r="H225" s="563"/>
      <c r="I225" s="563"/>
      <c r="J225" s="592">
        <v>0.51</v>
      </c>
      <c r="K225" s="592">
        <v>0.52</v>
      </c>
      <c r="L225" s="592"/>
      <c r="M225" s="592"/>
      <c r="N225" s="592"/>
      <c r="O225" s="592"/>
      <c r="P225" s="592"/>
      <c r="Q225" s="592"/>
      <c r="R225" s="592"/>
      <c r="S225" s="592"/>
      <c r="T225" s="592"/>
      <c r="U225" s="592"/>
      <c r="V225" s="617" t="s">
        <v>190</v>
      </c>
      <c r="W225" s="685" t="s">
        <v>319</v>
      </c>
    </row>
    <row r="226" spans="1:23" s="688" customFormat="1" ht="30">
      <c r="A226" s="681">
        <v>15</v>
      </c>
      <c r="B226" s="558" t="s">
        <v>324</v>
      </c>
      <c r="C226" s="565" t="s">
        <v>23</v>
      </c>
      <c r="D226" s="565" t="s">
        <v>23</v>
      </c>
      <c r="E226" s="566">
        <f t="shared" si="35"/>
        <v>1.02</v>
      </c>
      <c r="F226" s="687"/>
      <c r="G226" s="563">
        <f t="shared" si="36"/>
        <v>1.02</v>
      </c>
      <c r="H226" s="563"/>
      <c r="I226" s="563"/>
      <c r="J226" s="592">
        <v>0.5</v>
      </c>
      <c r="K226" s="592">
        <v>0.52</v>
      </c>
      <c r="L226" s="592"/>
      <c r="M226" s="592"/>
      <c r="N226" s="592"/>
      <c r="O226" s="592"/>
      <c r="P226" s="592"/>
      <c r="Q226" s="592"/>
      <c r="R226" s="592"/>
      <c r="S226" s="592"/>
      <c r="T226" s="592"/>
      <c r="U226" s="592"/>
      <c r="V226" s="617" t="s">
        <v>191</v>
      </c>
      <c r="W226" s="685" t="s">
        <v>319</v>
      </c>
    </row>
    <row r="227" spans="1:23" s="688" customFormat="1" ht="30">
      <c r="A227" s="681">
        <v>16</v>
      </c>
      <c r="B227" s="558" t="s">
        <v>323</v>
      </c>
      <c r="C227" s="565" t="s">
        <v>23</v>
      </c>
      <c r="D227" s="565" t="s">
        <v>23</v>
      </c>
      <c r="E227" s="566">
        <f t="shared" si="35"/>
        <v>1</v>
      </c>
      <c r="F227" s="687"/>
      <c r="G227" s="563">
        <f t="shared" si="36"/>
        <v>1</v>
      </c>
      <c r="H227" s="563"/>
      <c r="I227" s="563"/>
      <c r="J227" s="592">
        <v>1</v>
      </c>
      <c r="K227" s="592"/>
      <c r="L227" s="592"/>
      <c r="M227" s="592"/>
      <c r="N227" s="592"/>
      <c r="O227" s="592"/>
      <c r="P227" s="592"/>
      <c r="Q227" s="592"/>
      <c r="R227" s="592"/>
      <c r="S227" s="592"/>
      <c r="T227" s="592"/>
      <c r="U227" s="592"/>
      <c r="V227" s="617" t="s">
        <v>173</v>
      </c>
      <c r="W227" s="685" t="s">
        <v>319</v>
      </c>
    </row>
    <row r="228" spans="1:23" s="688" customFormat="1" ht="30">
      <c r="A228" s="681">
        <v>17</v>
      </c>
      <c r="B228" s="558" t="s">
        <v>322</v>
      </c>
      <c r="C228" s="565" t="s">
        <v>23</v>
      </c>
      <c r="D228" s="565" t="s">
        <v>23</v>
      </c>
      <c r="E228" s="566">
        <f t="shared" si="35"/>
        <v>1</v>
      </c>
      <c r="F228" s="687"/>
      <c r="G228" s="563">
        <f t="shared" si="36"/>
        <v>1</v>
      </c>
      <c r="H228" s="563"/>
      <c r="I228" s="563"/>
      <c r="J228" s="592"/>
      <c r="K228" s="592">
        <v>1</v>
      </c>
      <c r="L228" s="592"/>
      <c r="M228" s="592"/>
      <c r="N228" s="592"/>
      <c r="O228" s="592"/>
      <c r="P228" s="592"/>
      <c r="Q228" s="592"/>
      <c r="R228" s="592"/>
      <c r="S228" s="592"/>
      <c r="T228" s="592"/>
      <c r="U228" s="592"/>
      <c r="V228" s="617" t="s">
        <v>174</v>
      </c>
      <c r="W228" s="685" t="s">
        <v>319</v>
      </c>
    </row>
    <row r="229" spans="1:23" s="688" customFormat="1" ht="30">
      <c r="A229" s="681">
        <v>18</v>
      </c>
      <c r="B229" s="558" t="s">
        <v>321</v>
      </c>
      <c r="C229" s="565" t="s">
        <v>23</v>
      </c>
      <c r="D229" s="565" t="s">
        <v>23</v>
      </c>
      <c r="E229" s="566">
        <f t="shared" si="35"/>
        <v>1</v>
      </c>
      <c r="F229" s="687"/>
      <c r="G229" s="563">
        <f t="shared" si="36"/>
        <v>1</v>
      </c>
      <c r="H229" s="563"/>
      <c r="I229" s="563"/>
      <c r="J229" s="592"/>
      <c r="K229" s="592">
        <v>1</v>
      </c>
      <c r="L229" s="592"/>
      <c r="M229" s="592"/>
      <c r="N229" s="592"/>
      <c r="O229" s="592"/>
      <c r="P229" s="592"/>
      <c r="Q229" s="592"/>
      <c r="R229" s="592"/>
      <c r="S229" s="592"/>
      <c r="T229" s="592"/>
      <c r="U229" s="592"/>
      <c r="V229" s="617" t="s">
        <v>189</v>
      </c>
      <c r="W229" s="685" t="s">
        <v>319</v>
      </c>
    </row>
    <row r="230" spans="1:23" s="688" customFormat="1" ht="30">
      <c r="A230" s="681">
        <v>19</v>
      </c>
      <c r="B230" s="558" t="s">
        <v>320</v>
      </c>
      <c r="C230" s="565" t="s">
        <v>27</v>
      </c>
      <c r="D230" s="565" t="s">
        <v>27</v>
      </c>
      <c r="E230" s="566">
        <v>0.43</v>
      </c>
      <c r="F230" s="687"/>
      <c r="G230" s="563">
        <v>0.43</v>
      </c>
      <c r="H230" s="563"/>
      <c r="I230" s="563"/>
      <c r="J230" s="592"/>
      <c r="K230" s="592">
        <v>0.43</v>
      </c>
      <c r="L230" s="592"/>
      <c r="M230" s="592"/>
      <c r="N230" s="592"/>
      <c r="O230" s="592"/>
      <c r="P230" s="592"/>
      <c r="Q230" s="592"/>
      <c r="R230" s="592"/>
      <c r="S230" s="592"/>
      <c r="T230" s="592"/>
      <c r="U230" s="592"/>
      <c r="V230" s="617" t="s">
        <v>246</v>
      </c>
      <c r="W230" s="685" t="s">
        <v>319</v>
      </c>
    </row>
    <row r="231" spans="1:23" ht="28.5">
      <c r="A231" s="553" t="s">
        <v>149</v>
      </c>
      <c r="B231" s="554" t="s">
        <v>318</v>
      </c>
      <c r="C231" s="555"/>
      <c r="D231" s="555"/>
      <c r="E231" s="566"/>
      <c r="F231" s="556"/>
      <c r="G231" s="563"/>
      <c r="H231" s="563"/>
      <c r="I231" s="563"/>
      <c r="J231" s="556"/>
      <c r="K231" s="556"/>
      <c r="L231" s="556"/>
      <c r="M231" s="556"/>
      <c r="N231" s="556"/>
      <c r="O231" s="556"/>
      <c r="P231" s="556"/>
      <c r="Q231" s="556"/>
      <c r="R231" s="556"/>
      <c r="S231" s="556"/>
      <c r="T231" s="556"/>
      <c r="U231" s="556"/>
      <c r="V231" s="557"/>
      <c r="W231" s="558"/>
    </row>
    <row r="232" spans="1:23">
      <c r="A232" s="774" t="s">
        <v>317</v>
      </c>
      <c r="B232" s="774"/>
      <c r="C232" s="579"/>
      <c r="D232" s="579"/>
      <c r="E232" s="689">
        <f t="shared" ref="E232:U232" si="37">SUM(E12:E230)</f>
        <v>2394.4170000000004</v>
      </c>
      <c r="F232" s="689">
        <f t="shared" si="37"/>
        <v>1218.6599999999999</v>
      </c>
      <c r="G232" s="689">
        <f t="shared" si="37"/>
        <v>1175.76</v>
      </c>
      <c r="H232" s="689">
        <f t="shared" si="37"/>
        <v>9</v>
      </c>
      <c r="I232" s="689">
        <f t="shared" si="37"/>
        <v>4.7</v>
      </c>
      <c r="J232" s="689">
        <f t="shared" si="37"/>
        <v>679.3</v>
      </c>
      <c r="K232" s="689">
        <f t="shared" si="37"/>
        <v>361.1099999999999</v>
      </c>
      <c r="L232" s="689">
        <f t="shared" si="37"/>
        <v>22</v>
      </c>
      <c r="M232" s="689">
        <f t="shared" si="37"/>
        <v>30.05</v>
      </c>
      <c r="N232" s="689">
        <f t="shared" si="37"/>
        <v>37.36</v>
      </c>
      <c r="O232" s="689">
        <f t="shared" si="37"/>
        <v>0.30000000000000004</v>
      </c>
      <c r="P232" s="689">
        <f t="shared" si="37"/>
        <v>0.06</v>
      </c>
      <c r="Q232" s="689">
        <f t="shared" si="37"/>
        <v>2.7399999999999998</v>
      </c>
      <c r="R232" s="689">
        <f t="shared" si="37"/>
        <v>5.19</v>
      </c>
      <c r="S232" s="689">
        <f t="shared" si="37"/>
        <v>0.6</v>
      </c>
      <c r="T232" s="689">
        <f t="shared" si="37"/>
        <v>12.5</v>
      </c>
      <c r="U232" s="689">
        <f t="shared" si="37"/>
        <v>15.55</v>
      </c>
      <c r="V232" s="690"/>
      <c r="W232" s="558"/>
    </row>
    <row r="233" spans="1:23">
      <c r="A233" s="691"/>
      <c r="F233" s="694"/>
      <c r="J233" s="693" t="s">
        <v>316</v>
      </c>
    </row>
    <row r="234" spans="1:23">
      <c r="A234" s="696"/>
    </row>
    <row r="235" spans="1:23">
      <c r="A235" s="696"/>
      <c r="B235" s="697"/>
      <c r="C235" s="698"/>
      <c r="G235" s="694"/>
    </row>
    <row r="236" spans="1:23">
      <c r="A236" s="696"/>
      <c r="B236" s="697"/>
      <c r="G236" s="694"/>
      <c r="H236" s="694"/>
      <c r="I236" s="694"/>
    </row>
    <row r="237" spans="1:23">
      <c r="A237" s="696"/>
      <c r="G237" s="699"/>
      <c r="H237" s="699"/>
      <c r="I237" s="699"/>
    </row>
    <row r="238" spans="1:23" s="693" customFormat="1">
      <c r="A238" s="696"/>
      <c r="B238" s="692"/>
      <c r="C238" s="535"/>
      <c r="D238" s="535"/>
      <c r="G238" s="699"/>
      <c r="H238" s="699"/>
      <c r="I238" s="699"/>
      <c r="N238" s="694"/>
      <c r="O238" s="694"/>
      <c r="V238" s="695"/>
      <c r="W238" s="532"/>
    </row>
    <row r="239" spans="1:23" s="693" customFormat="1">
      <c r="A239" s="696"/>
      <c r="B239" s="692"/>
      <c r="C239" s="535"/>
      <c r="D239" s="535"/>
      <c r="G239" s="699"/>
      <c r="H239" s="699"/>
      <c r="I239" s="699"/>
      <c r="N239" s="694"/>
      <c r="O239" s="694"/>
      <c r="R239" s="694"/>
      <c r="V239" s="695"/>
      <c r="W239" s="532"/>
    </row>
    <row r="240" spans="1:23" s="693" customFormat="1">
      <c r="A240" s="696"/>
      <c r="B240" s="692"/>
      <c r="C240" s="535"/>
      <c r="D240" s="535"/>
      <c r="G240" s="699"/>
      <c r="H240" s="699"/>
      <c r="I240" s="699"/>
      <c r="V240" s="695"/>
      <c r="W240" s="532"/>
    </row>
    <row r="241" spans="1:23" s="693" customFormat="1">
      <c r="A241" s="696"/>
      <c r="B241" s="700"/>
      <c r="C241" s="535"/>
      <c r="D241" s="535"/>
      <c r="G241" s="699"/>
      <c r="H241" s="699"/>
      <c r="I241" s="699"/>
      <c r="V241" s="695"/>
      <c r="W241" s="532"/>
    </row>
    <row r="242" spans="1:23" s="693" customFormat="1">
      <c r="A242" s="696"/>
      <c r="B242" s="692"/>
      <c r="C242" s="535"/>
      <c r="D242" s="535"/>
      <c r="G242" s="699"/>
      <c r="H242" s="699"/>
      <c r="I242" s="699"/>
      <c r="V242" s="695"/>
      <c r="W242" s="532"/>
    </row>
    <row r="243" spans="1:23" s="693" customFormat="1">
      <c r="A243" s="696"/>
      <c r="B243" s="692"/>
      <c r="C243" s="535"/>
      <c r="D243" s="535"/>
      <c r="G243" s="699"/>
      <c r="H243" s="699"/>
      <c r="I243" s="699"/>
      <c r="V243" s="695"/>
      <c r="W243" s="532"/>
    </row>
    <row r="244" spans="1:23" s="693" customFormat="1">
      <c r="A244" s="696"/>
      <c r="B244" s="692"/>
      <c r="C244" s="535"/>
      <c r="D244" s="535"/>
      <c r="G244" s="699"/>
      <c r="H244" s="699"/>
      <c r="I244" s="699"/>
      <c r="V244" s="695"/>
      <c r="W244" s="532"/>
    </row>
    <row r="245" spans="1:23" s="693" customFormat="1">
      <c r="A245" s="696"/>
      <c r="B245" s="692"/>
      <c r="C245" s="535"/>
      <c r="D245" s="535"/>
      <c r="G245" s="699"/>
      <c r="H245" s="699"/>
      <c r="I245" s="699"/>
      <c r="V245" s="695"/>
      <c r="W245" s="532"/>
    </row>
    <row r="246" spans="1:23" s="693" customFormat="1">
      <c r="A246" s="696"/>
      <c r="B246" s="692"/>
      <c r="C246" s="535"/>
      <c r="D246" s="535"/>
      <c r="G246" s="699"/>
      <c r="H246" s="699"/>
      <c r="I246" s="699"/>
      <c r="V246" s="695"/>
      <c r="W246" s="532"/>
    </row>
    <row r="247" spans="1:23" s="693" customFormat="1">
      <c r="A247" s="696"/>
      <c r="B247" s="692"/>
      <c r="C247" s="535"/>
      <c r="D247" s="535"/>
      <c r="G247" s="699"/>
      <c r="H247" s="699"/>
      <c r="I247" s="699"/>
      <c r="V247" s="695"/>
      <c r="W247" s="532"/>
    </row>
    <row r="248" spans="1:23" s="693" customFormat="1">
      <c r="A248" s="696"/>
      <c r="B248" s="692"/>
      <c r="C248" s="535"/>
      <c r="D248" s="535"/>
      <c r="G248" s="699"/>
      <c r="H248" s="699"/>
      <c r="I248" s="699"/>
      <c r="V248" s="695"/>
      <c r="W248" s="532"/>
    </row>
    <row r="249" spans="1:23" s="693" customFormat="1">
      <c r="A249" s="696"/>
      <c r="B249" s="692"/>
      <c r="C249" s="535"/>
      <c r="D249" s="535"/>
      <c r="G249" s="699"/>
      <c r="H249" s="699"/>
      <c r="I249" s="699"/>
      <c r="V249" s="695"/>
      <c r="W249" s="532"/>
    </row>
    <row r="250" spans="1:23" s="693" customFormat="1">
      <c r="A250" s="696"/>
      <c r="B250" s="692"/>
      <c r="C250" s="535"/>
      <c r="D250" s="535"/>
      <c r="G250" s="699"/>
      <c r="H250" s="699"/>
      <c r="I250" s="699"/>
      <c r="V250" s="695"/>
      <c r="W250" s="532"/>
    </row>
    <row r="251" spans="1:23" s="693" customFormat="1">
      <c r="A251" s="696"/>
      <c r="B251" s="692"/>
      <c r="C251" s="535"/>
      <c r="D251" s="535"/>
      <c r="G251" s="699"/>
      <c r="H251" s="699"/>
      <c r="I251" s="699"/>
      <c r="V251" s="695"/>
      <c r="W251" s="532"/>
    </row>
    <row r="252" spans="1:23" s="693" customFormat="1">
      <c r="A252" s="696"/>
      <c r="B252" s="692"/>
      <c r="C252" s="535"/>
      <c r="D252" s="535"/>
      <c r="G252" s="699"/>
      <c r="H252" s="699"/>
      <c r="I252" s="699"/>
      <c r="V252" s="695"/>
      <c r="W252" s="532"/>
    </row>
    <row r="253" spans="1:23" s="693" customFormat="1">
      <c r="A253" s="696"/>
      <c r="B253" s="692"/>
      <c r="C253" s="535"/>
      <c r="D253" s="535"/>
      <c r="G253" s="699"/>
      <c r="H253" s="699"/>
      <c r="I253" s="699"/>
      <c r="V253" s="695"/>
      <c r="W253" s="532"/>
    </row>
    <row r="254" spans="1:23" s="693" customFormat="1">
      <c r="A254" s="696"/>
      <c r="B254" s="692"/>
      <c r="C254" s="535"/>
      <c r="D254" s="535"/>
      <c r="G254" s="701"/>
      <c r="H254" s="701"/>
      <c r="I254" s="701"/>
      <c r="V254" s="695"/>
      <c r="W254" s="532"/>
    </row>
    <row r="255" spans="1:23" s="693" customFormat="1">
      <c r="A255" s="696"/>
      <c r="B255" s="692"/>
      <c r="C255" s="535"/>
      <c r="D255" s="535"/>
      <c r="V255" s="695"/>
      <c r="W255" s="532"/>
    </row>
    <row r="256" spans="1:23" s="693" customFormat="1">
      <c r="A256" s="696"/>
      <c r="B256" s="692"/>
      <c r="C256" s="535"/>
      <c r="D256" s="535"/>
      <c r="V256" s="695"/>
      <c r="W256" s="532"/>
    </row>
    <row r="257" spans="1:23" s="693" customFormat="1">
      <c r="A257" s="696"/>
      <c r="B257" s="692"/>
      <c r="C257" s="535"/>
      <c r="D257" s="535"/>
      <c r="V257" s="695"/>
      <c r="W257" s="532"/>
    </row>
    <row r="258" spans="1:23" s="693" customFormat="1">
      <c r="A258" s="696"/>
      <c r="B258" s="692"/>
      <c r="C258" s="535"/>
      <c r="D258" s="535"/>
      <c r="V258" s="695"/>
      <c r="W258" s="532"/>
    </row>
    <row r="259" spans="1:23" s="693" customFormat="1">
      <c r="A259" s="696"/>
      <c r="B259" s="692"/>
      <c r="C259" s="535"/>
      <c r="D259" s="535"/>
      <c r="V259" s="695"/>
      <c r="W259" s="532"/>
    </row>
    <row r="260" spans="1:23" s="693" customFormat="1">
      <c r="A260" s="696"/>
      <c r="B260" s="692"/>
      <c r="C260" s="535"/>
      <c r="D260" s="535"/>
      <c r="V260" s="695"/>
      <c r="W260" s="532"/>
    </row>
    <row r="261" spans="1:23" s="693" customFormat="1">
      <c r="A261" s="696"/>
      <c r="B261" s="692"/>
      <c r="C261" s="535"/>
      <c r="D261" s="535"/>
      <c r="V261" s="695"/>
      <c r="W261" s="532"/>
    </row>
  </sheetData>
  <autoFilter ref="A9:W233"/>
  <mergeCells count="78">
    <mergeCell ref="A1:V1"/>
    <mergeCell ref="A2:W2"/>
    <mergeCell ref="A3:W3"/>
    <mergeCell ref="A4:A7"/>
    <mergeCell ref="B4:B7"/>
    <mergeCell ref="C4:C7"/>
    <mergeCell ref="E4:E7"/>
    <mergeCell ref="F4:F7"/>
    <mergeCell ref="G4:U6"/>
    <mergeCell ref="V4:V7"/>
    <mergeCell ref="W4:W7"/>
    <mergeCell ref="J7:U7"/>
    <mergeCell ref="A66:A68"/>
    <mergeCell ref="B57:B63"/>
    <mergeCell ref="W36:W37"/>
    <mergeCell ref="W31:W32"/>
    <mergeCell ref="A232:B232"/>
    <mergeCell ref="B34:B35"/>
    <mergeCell ref="A34:A35"/>
    <mergeCell ref="W34:W35"/>
    <mergeCell ref="A71:A72"/>
    <mergeCell ref="B71:B72"/>
    <mergeCell ref="W71:W72"/>
    <mergeCell ref="W104:W109"/>
    <mergeCell ref="W188:W189"/>
    <mergeCell ref="B111:B112"/>
    <mergeCell ref="C111:C112"/>
    <mergeCell ref="D111:D112"/>
    <mergeCell ref="A26:A28"/>
    <mergeCell ref="W26:W28"/>
    <mergeCell ref="W46:W48"/>
    <mergeCell ref="W52:W53"/>
    <mergeCell ref="A57:A63"/>
    <mergeCell ref="W57:W63"/>
    <mergeCell ref="B26:B28"/>
    <mergeCell ref="B66:B68"/>
    <mergeCell ref="W66:W68"/>
    <mergeCell ref="W69:W70"/>
    <mergeCell ref="B69:B70"/>
    <mergeCell ref="W111:W112"/>
    <mergeCell ref="A137:A138"/>
    <mergeCell ref="B137:B138"/>
    <mergeCell ref="B83:B86"/>
    <mergeCell ref="W83:W86"/>
    <mergeCell ref="A132:A133"/>
    <mergeCell ref="B132:B133"/>
    <mergeCell ref="W132:W133"/>
    <mergeCell ref="B134:B135"/>
    <mergeCell ref="A134:A135"/>
    <mergeCell ref="W134:W135"/>
    <mergeCell ref="A69:A70"/>
    <mergeCell ref="W142:W143"/>
    <mergeCell ref="B165:B168"/>
    <mergeCell ref="A165:A168"/>
    <mergeCell ref="W165:W168"/>
    <mergeCell ref="A159:A161"/>
    <mergeCell ref="B159:B161"/>
    <mergeCell ref="B162:B164"/>
    <mergeCell ref="A162:A164"/>
    <mergeCell ref="W162:W164"/>
    <mergeCell ref="B156:B158"/>
    <mergeCell ref="A156:A158"/>
    <mergeCell ref="W156:W158"/>
    <mergeCell ref="A83:A86"/>
    <mergeCell ref="A111:A112"/>
    <mergeCell ref="W137:W138"/>
    <mergeCell ref="A169:A172"/>
    <mergeCell ref="B169:B172"/>
    <mergeCell ref="W169:W172"/>
    <mergeCell ref="A173:A175"/>
    <mergeCell ref="B173:B175"/>
    <mergeCell ref="A176:A179"/>
    <mergeCell ref="B176:B179"/>
    <mergeCell ref="W176:W179"/>
    <mergeCell ref="W173:W175"/>
    <mergeCell ref="A180:A183"/>
    <mergeCell ref="B180:B183"/>
    <mergeCell ref="W180:W183"/>
  </mergeCells>
  <pageMargins left="0.27559055118110237" right="0.19685039370078741" top="7.874015748031496E-2" bottom="7.874015748031496E-2" header="0" footer="0.31496062992125984"/>
  <pageSetup paperSize="8" orientation="landscape" r:id="rId1"/>
  <ignoredErrors>
    <ignoredError sqref="G137"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92"/>
  <sheetViews>
    <sheetView topLeftCell="C5" zoomScale="78" zoomScaleNormal="78" workbookViewId="0">
      <pane xSplit="1" ySplit="1" topLeftCell="AV42" activePane="bottomRight" state="frozen"/>
      <selection activeCell="C5" sqref="C5"/>
      <selection pane="topRight" activeCell="D5" sqref="D5"/>
      <selection pane="bottomLeft" activeCell="C6" sqref="C6"/>
      <selection pane="bottomRight" activeCell="C50" sqref="A50:XFD50"/>
    </sheetView>
  </sheetViews>
  <sheetFormatPr defaultColWidth="9.140625" defaultRowHeight="15.75"/>
  <cols>
    <col min="1" max="1" width="6.28515625" style="314" customWidth="1"/>
    <col min="2" max="2" width="41.85546875" style="307" customWidth="1"/>
    <col min="3" max="3" width="7.5703125" style="307" customWidth="1"/>
    <col min="4" max="4" width="13.5703125" style="307" customWidth="1"/>
    <col min="5" max="5" width="15.5703125" style="315" customWidth="1"/>
    <col min="6" max="6" width="12.85546875" style="307" customWidth="1"/>
    <col min="7" max="7" width="9.28515625" style="396" customWidth="1"/>
    <col min="8" max="8" width="14.28515625" style="307" customWidth="1"/>
    <col min="9" max="9" width="14" style="307" customWidth="1"/>
    <col min="10" max="10" width="12.42578125" style="307" customWidth="1"/>
    <col min="11" max="11" width="12.28515625" style="307" customWidth="1"/>
    <col min="12" max="12" width="14.85546875" style="307" customWidth="1"/>
    <col min="13" max="13" width="14.140625" style="396" customWidth="1"/>
    <col min="14" max="14" width="10.85546875" style="307" customWidth="1"/>
    <col min="15" max="15" width="7" style="307" customWidth="1"/>
    <col min="16" max="16" width="12.28515625" style="315" customWidth="1"/>
    <col min="17" max="17" width="13.42578125" style="307" customWidth="1"/>
    <col min="18" max="18" width="10.42578125" style="307" customWidth="1"/>
    <col min="19" max="19" width="7.140625" style="307" customWidth="1"/>
    <col min="20" max="20" width="6.28515625" style="307" customWidth="1"/>
    <col min="21" max="21" width="9.42578125" style="307" customWidth="1"/>
    <col min="22" max="23" width="7.7109375" style="307" customWidth="1"/>
    <col min="24" max="24" width="7.5703125" style="307" customWidth="1"/>
    <col min="25" max="25" width="9.85546875" style="307" customWidth="1"/>
    <col min="26" max="26" width="10.5703125" style="396" customWidth="1"/>
    <col min="27" max="27" width="11.28515625" style="307" customWidth="1"/>
    <col min="28" max="28" width="8" style="307" customWidth="1"/>
    <col min="29" max="29" width="7" style="307" customWidth="1"/>
    <col min="30" max="30" width="7.42578125" style="307" customWidth="1"/>
    <col min="31" max="32" width="8.85546875" style="307" customWidth="1"/>
    <col min="33" max="33" width="11.42578125" style="307" customWidth="1"/>
    <col min="34" max="34" width="6.42578125" style="307" customWidth="1"/>
    <col min="35" max="35" width="8.42578125" style="307" customWidth="1"/>
    <col min="36" max="36" width="9.42578125" style="307" customWidth="1"/>
    <col min="37" max="37" width="8.42578125" style="307" customWidth="1"/>
    <col min="38" max="38" width="8" style="307" customWidth="1"/>
    <col min="39" max="39" width="8.7109375" style="307" customWidth="1"/>
    <col min="40" max="40" width="11.5703125" style="307" customWidth="1"/>
    <col min="41" max="41" width="7.28515625" style="307" customWidth="1"/>
    <col min="42" max="42" width="7.140625" style="307" customWidth="1"/>
    <col min="43" max="43" width="11.5703125" style="307" customWidth="1"/>
    <col min="44" max="44" width="13" style="307" customWidth="1"/>
    <col min="45" max="45" width="12.42578125" style="307" customWidth="1"/>
    <col min="46" max="46" width="9.5703125" style="307" bestFit="1" customWidth="1"/>
    <col min="47" max="47" width="13" style="307" bestFit="1" customWidth="1"/>
    <col min="48" max="49" width="9.28515625" style="307" bestFit="1" customWidth="1"/>
    <col min="50" max="50" width="9.28515625" style="307" hidden="1" customWidth="1"/>
    <col min="51" max="51" width="9.28515625" style="307" bestFit="1" customWidth="1"/>
    <col min="52" max="52" width="11.28515625" style="307" bestFit="1" customWidth="1"/>
    <col min="53" max="54" width="9.28515625" style="307" bestFit="1" customWidth="1"/>
    <col min="55" max="55" width="11" style="307" bestFit="1" customWidth="1"/>
    <col min="56" max="56" width="11.42578125" style="385" customWidth="1"/>
    <col min="57" max="57" width="13.85546875" style="315" customWidth="1"/>
    <col min="58" max="58" width="11.140625" style="307" customWidth="1"/>
    <col min="59" max="16384" width="9.140625" style="307"/>
  </cols>
  <sheetData>
    <row r="1" spans="1:59">
      <c r="A1" s="805" t="s">
        <v>470</v>
      </c>
      <c r="B1" s="805"/>
      <c r="C1" s="311"/>
      <c r="D1" s="311"/>
      <c r="E1" s="312"/>
      <c r="F1" s="311"/>
      <c r="H1" s="311"/>
      <c r="I1" s="311"/>
      <c r="J1" s="311"/>
      <c r="K1" s="311"/>
      <c r="L1" s="311"/>
      <c r="N1" s="311"/>
      <c r="O1" s="311"/>
      <c r="P1" s="312"/>
      <c r="Q1" s="311"/>
      <c r="R1" s="311"/>
      <c r="S1" s="311"/>
      <c r="T1" s="311"/>
      <c r="U1" s="311"/>
      <c r="V1" s="311"/>
      <c r="W1" s="311"/>
      <c r="X1" s="311"/>
      <c r="Y1" s="311"/>
      <c r="AA1" s="311"/>
      <c r="AB1" s="311"/>
      <c r="AC1" s="311"/>
      <c r="AD1" s="311"/>
      <c r="AE1" s="311"/>
      <c r="AF1" s="311"/>
      <c r="AG1" s="311"/>
      <c r="AH1" s="311"/>
      <c r="AI1" s="311"/>
      <c r="AJ1" s="311"/>
      <c r="AK1" s="311"/>
      <c r="AL1" s="311"/>
      <c r="AM1" s="311"/>
      <c r="AN1" s="311"/>
      <c r="AO1" s="311"/>
      <c r="AP1" s="311"/>
      <c r="AQ1" s="311"/>
      <c r="AR1" s="311"/>
      <c r="AS1" s="311"/>
    </row>
    <row r="2" spans="1:59">
      <c r="A2" s="806" t="s">
        <v>473</v>
      </c>
      <c r="B2" s="806"/>
      <c r="C2" s="806"/>
      <c r="D2" s="806"/>
      <c r="E2" s="806"/>
      <c r="F2" s="806"/>
      <c r="G2" s="806"/>
      <c r="H2" s="806"/>
      <c r="I2" s="806"/>
      <c r="J2" s="806"/>
      <c r="K2" s="806"/>
      <c r="L2" s="806"/>
      <c r="M2" s="806"/>
      <c r="N2" s="806"/>
      <c r="O2" s="806"/>
      <c r="P2" s="806"/>
      <c r="Q2" s="806"/>
      <c r="R2" s="806"/>
      <c r="S2" s="806"/>
      <c r="T2" s="806"/>
      <c r="U2" s="806"/>
      <c r="V2" s="806"/>
      <c r="W2" s="806"/>
      <c r="X2" s="806"/>
      <c r="Y2" s="806"/>
      <c r="Z2" s="806"/>
      <c r="AA2" s="806"/>
      <c r="AB2" s="806"/>
      <c r="AC2" s="806"/>
      <c r="AD2" s="806"/>
      <c r="AE2" s="806"/>
      <c r="AF2" s="806"/>
      <c r="AG2" s="806"/>
      <c r="AH2" s="806"/>
      <c r="AI2" s="806"/>
      <c r="AJ2" s="806"/>
      <c r="AK2" s="806"/>
      <c r="AL2" s="806"/>
      <c r="AM2" s="806"/>
      <c r="AN2" s="806"/>
      <c r="AO2" s="806"/>
      <c r="AP2" s="806"/>
      <c r="AQ2" s="806"/>
      <c r="AR2" s="806"/>
      <c r="AS2" s="806"/>
    </row>
    <row r="3" spans="1:59">
      <c r="A3" s="807" t="s">
        <v>0</v>
      </c>
      <c r="B3" s="807"/>
      <c r="C3" s="807"/>
      <c r="D3" s="807"/>
      <c r="E3" s="807"/>
      <c r="F3" s="807"/>
      <c r="G3" s="807"/>
      <c r="H3" s="807"/>
      <c r="I3" s="807"/>
      <c r="J3" s="807"/>
      <c r="K3" s="807"/>
      <c r="L3" s="807"/>
      <c r="M3" s="807"/>
      <c r="N3" s="807"/>
      <c r="O3" s="807"/>
      <c r="P3" s="807"/>
      <c r="Q3" s="807"/>
      <c r="R3" s="807"/>
      <c r="S3" s="807"/>
      <c r="T3" s="807"/>
      <c r="U3" s="807"/>
      <c r="V3" s="807"/>
      <c r="W3" s="807"/>
      <c r="X3" s="807"/>
      <c r="Y3" s="807"/>
      <c r="Z3" s="807"/>
      <c r="AA3" s="807"/>
      <c r="AB3" s="807"/>
      <c r="AC3" s="807"/>
      <c r="AD3" s="807"/>
      <c r="AE3" s="807"/>
      <c r="AF3" s="807"/>
      <c r="AG3" s="807"/>
      <c r="AH3" s="807"/>
      <c r="AI3" s="807"/>
      <c r="AJ3" s="807"/>
      <c r="AK3" s="807"/>
      <c r="AL3" s="807"/>
      <c r="AM3" s="807"/>
      <c r="AN3" s="807"/>
      <c r="AO3" s="807"/>
      <c r="AP3" s="807"/>
      <c r="AQ3" s="807"/>
      <c r="AR3" s="807"/>
      <c r="AS3" s="807"/>
      <c r="AT3" s="807"/>
      <c r="AU3" s="807"/>
      <c r="AV3" s="807"/>
      <c r="AW3" s="807"/>
      <c r="AX3" s="807"/>
      <c r="AY3" s="807"/>
      <c r="AZ3" s="807"/>
      <c r="BA3" s="807"/>
      <c r="BB3" s="807"/>
      <c r="BC3" s="807"/>
      <c r="BD3" s="807"/>
      <c r="BE3" s="807"/>
    </row>
    <row r="4" spans="1:59">
      <c r="A4" s="808" t="s">
        <v>1</v>
      </c>
      <c r="B4" s="808" t="s">
        <v>2</v>
      </c>
      <c r="C4" s="808" t="s">
        <v>3</v>
      </c>
      <c r="D4" s="808" t="s">
        <v>471</v>
      </c>
      <c r="E4" s="809" t="s">
        <v>315</v>
      </c>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809"/>
      <c r="BA4" s="809"/>
      <c r="BB4" s="809"/>
      <c r="BC4" s="809"/>
      <c r="BD4" s="810" t="s">
        <v>108</v>
      </c>
      <c r="BE4" s="808" t="s">
        <v>472</v>
      </c>
    </row>
    <row r="5" spans="1:59" s="315" customFormat="1">
      <c r="A5" s="808"/>
      <c r="B5" s="808"/>
      <c r="C5" s="808"/>
      <c r="D5" s="808"/>
      <c r="E5" s="431" t="s">
        <v>7</v>
      </c>
      <c r="F5" s="431" t="s">
        <v>9</v>
      </c>
      <c r="G5" s="433" t="s">
        <v>11</v>
      </c>
      <c r="H5" s="431" t="s">
        <v>13</v>
      </c>
      <c r="I5" s="431" t="s">
        <v>15</v>
      </c>
      <c r="J5" s="431" t="s">
        <v>17</v>
      </c>
      <c r="K5" s="431" t="s">
        <v>19</v>
      </c>
      <c r="L5" s="431" t="s">
        <v>21</v>
      </c>
      <c r="M5" s="433" t="s">
        <v>281</v>
      </c>
      <c r="N5" s="431" t="s">
        <v>23</v>
      </c>
      <c r="O5" s="431" t="s">
        <v>25</v>
      </c>
      <c r="P5" s="431" t="s">
        <v>27</v>
      </c>
      <c r="Q5" s="431" t="s">
        <v>29</v>
      </c>
      <c r="R5" s="431" t="s">
        <v>31</v>
      </c>
      <c r="S5" s="431" t="s">
        <v>33</v>
      </c>
      <c r="T5" s="431" t="s">
        <v>35</v>
      </c>
      <c r="U5" s="431" t="s">
        <v>37</v>
      </c>
      <c r="V5" s="431" t="s">
        <v>39</v>
      </c>
      <c r="W5" s="431" t="s">
        <v>41</v>
      </c>
      <c r="X5" s="431" t="s">
        <v>43</v>
      </c>
      <c r="Y5" s="431" t="s">
        <v>66</v>
      </c>
      <c r="Z5" s="433" t="s">
        <v>45</v>
      </c>
      <c r="AA5" s="431" t="s">
        <v>196</v>
      </c>
      <c r="AB5" s="431" t="s">
        <v>194</v>
      </c>
      <c r="AC5" s="431" t="s">
        <v>232</v>
      </c>
      <c r="AD5" s="431" t="s">
        <v>233</v>
      </c>
      <c r="AE5" s="431" t="s">
        <v>192</v>
      </c>
      <c r="AF5" s="431" t="s">
        <v>195</v>
      </c>
      <c r="AG5" s="431" t="s">
        <v>193</v>
      </c>
      <c r="AH5" s="431" t="s">
        <v>236</v>
      </c>
      <c r="AI5" s="431" t="s">
        <v>279</v>
      </c>
      <c r="AJ5" s="431" t="s">
        <v>47</v>
      </c>
      <c r="AK5" s="431" t="s">
        <v>51</v>
      </c>
      <c r="AL5" s="431" t="s">
        <v>63</v>
      </c>
      <c r="AM5" s="431" t="s">
        <v>64</v>
      </c>
      <c r="AN5" s="431" t="s">
        <v>234</v>
      </c>
      <c r="AO5" s="431" t="s">
        <v>235</v>
      </c>
      <c r="AP5" s="431" t="s">
        <v>206</v>
      </c>
      <c r="AQ5" s="431" t="s">
        <v>49</v>
      </c>
      <c r="AR5" s="431" t="s">
        <v>68</v>
      </c>
      <c r="AS5" s="431" t="s">
        <v>70</v>
      </c>
      <c r="AT5" s="431" t="s">
        <v>53</v>
      </c>
      <c r="AU5" s="431" t="s">
        <v>55</v>
      </c>
      <c r="AV5" s="431" t="s">
        <v>57</v>
      </c>
      <c r="AW5" s="431" t="s">
        <v>59</v>
      </c>
      <c r="AX5" s="431" t="s">
        <v>61</v>
      </c>
      <c r="AY5" s="431" t="s">
        <v>72</v>
      </c>
      <c r="AZ5" s="431" t="s">
        <v>74</v>
      </c>
      <c r="BA5" s="431" t="s">
        <v>76</v>
      </c>
      <c r="BB5" s="431" t="s">
        <v>78</v>
      </c>
      <c r="BC5" s="431" t="s">
        <v>80</v>
      </c>
      <c r="BD5" s="810"/>
      <c r="BE5" s="808"/>
    </row>
    <row r="6" spans="1:59">
      <c r="A6" s="432"/>
      <c r="B6" s="310" t="s">
        <v>109</v>
      </c>
      <c r="C6" s="432"/>
      <c r="D6" s="386">
        <f>'B1'!D8</f>
        <v>143172.85999999999</v>
      </c>
      <c r="E6" s="386">
        <f>E7</f>
        <v>133609.54999999999</v>
      </c>
      <c r="F6" s="386">
        <f>F8</f>
        <v>1197.1199999999999</v>
      </c>
      <c r="G6" s="394">
        <f>G9</f>
        <v>733.12999999999988</v>
      </c>
      <c r="H6" s="386">
        <f>H10</f>
        <v>14762.83</v>
      </c>
      <c r="I6" s="386">
        <f>I11</f>
        <v>26915.040000000001</v>
      </c>
      <c r="J6" s="386">
        <f>J12</f>
        <v>13285.24</v>
      </c>
      <c r="K6" s="386">
        <f>K13</f>
        <v>43004.24</v>
      </c>
      <c r="L6" s="386">
        <f>L14</f>
        <v>34225.87999999999</v>
      </c>
      <c r="M6" s="394">
        <f>M15</f>
        <v>29661.95</v>
      </c>
      <c r="N6" s="386">
        <f>N16</f>
        <v>122.39</v>
      </c>
      <c r="O6" s="386">
        <f>O17</f>
        <v>0</v>
      </c>
      <c r="P6" s="386">
        <f>P18</f>
        <v>96.81</v>
      </c>
      <c r="Q6" s="386">
        <f>Q19</f>
        <v>8232.19</v>
      </c>
      <c r="R6" s="386">
        <f>R20</f>
        <v>117.53</v>
      </c>
      <c r="S6" s="386">
        <f>S21</f>
        <v>0.97</v>
      </c>
      <c r="T6" s="386">
        <f>T22</f>
        <v>0</v>
      </c>
      <c r="U6" s="386">
        <f>U23</f>
        <v>0</v>
      </c>
      <c r="V6" s="386">
        <f>V24</f>
        <v>5.169999999999999</v>
      </c>
      <c r="W6" s="386">
        <f>W25</f>
        <v>55.789999999999992</v>
      </c>
      <c r="X6" s="386">
        <f>X26</f>
        <v>4.66</v>
      </c>
      <c r="Y6" s="386">
        <f>Y27</f>
        <v>22.740000000000002</v>
      </c>
      <c r="Z6" s="394">
        <f>Z28</f>
        <v>6091.9400000000005</v>
      </c>
      <c r="AA6" s="386">
        <f>AA29</f>
        <v>1160.3399999999999</v>
      </c>
      <c r="AB6" s="386">
        <f>AB30</f>
        <v>92.570000000000007</v>
      </c>
      <c r="AC6" s="386">
        <f>AC31</f>
        <v>6.18</v>
      </c>
      <c r="AD6" s="386">
        <f>AD32</f>
        <v>4.96</v>
      </c>
      <c r="AE6" s="386">
        <f>AE33</f>
        <v>61.47</v>
      </c>
      <c r="AF6" s="386">
        <f>AF34</f>
        <v>16.670000000000002</v>
      </c>
      <c r="AG6" s="386">
        <f>AG35</f>
        <v>4617.17</v>
      </c>
      <c r="AH6" s="386">
        <f>AH36</f>
        <v>1.02</v>
      </c>
      <c r="AI6" s="386">
        <f>AI37</f>
        <v>0</v>
      </c>
      <c r="AJ6" s="386">
        <f>AJ38</f>
        <v>3.86</v>
      </c>
      <c r="AK6" s="386">
        <f>AK39</f>
        <v>2.65</v>
      </c>
      <c r="AL6" s="386">
        <f>AL40</f>
        <v>5.8500000000000005</v>
      </c>
      <c r="AM6" s="386">
        <f>AM41</f>
        <v>116.25</v>
      </c>
      <c r="AN6" s="386">
        <f>AN42</f>
        <v>0</v>
      </c>
      <c r="AO6" s="386">
        <f>AO43</f>
        <v>0.66</v>
      </c>
      <c r="AP6" s="386">
        <f>AP44</f>
        <v>2.23</v>
      </c>
      <c r="AQ6" s="386">
        <f>AQ45</f>
        <v>0</v>
      </c>
      <c r="AR6" s="386">
        <f>AR46</f>
        <v>13.120000000000001</v>
      </c>
      <c r="AS6" s="386">
        <f>AS47</f>
        <v>3.08</v>
      </c>
      <c r="AT6" s="386">
        <f>AT48</f>
        <v>722.94999999999993</v>
      </c>
      <c r="AU6" s="386">
        <f>AU49</f>
        <v>115.25999999999999</v>
      </c>
      <c r="AV6" s="386">
        <f>AV50</f>
        <v>19.220000000000002</v>
      </c>
      <c r="AW6" s="386">
        <f>AW51</f>
        <v>5.03</v>
      </c>
      <c r="AX6" s="386">
        <f>AX52</f>
        <v>0</v>
      </c>
      <c r="AY6" s="386">
        <f>AY53</f>
        <v>0.27</v>
      </c>
      <c r="AZ6" s="386">
        <f>AZ54</f>
        <v>988.56000000000017</v>
      </c>
      <c r="BA6" s="386">
        <f>BA55</f>
        <v>64.550000000000011</v>
      </c>
      <c r="BB6" s="386">
        <f>BB56</f>
        <v>1.41</v>
      </c>
      <c r="BC6" s="386">
        <f>BC57</f>
        <v>155.36000000000001</v>
      </c>
      <c r="BD6" s="407">
        <f>BD7+BD19+BD57</f>
        <v>1175.7599999999995</v>
      </c>
      <c r="BE6" s="406">
        <f>'B6'!H6</f>
        <v>143172.86000000002</v>
      </c>
      <c r="BG6" s="439"/>
    </row>
    <row r="7" spans="1:59">
      <c r="A7" s="308">
        <v>1</v>
      </c>
      <c r="B7" s="309" t="s">
        <v>6</v>
      </c>
      <c r="C7" s="308" t="s">
        <v>7</v>
      </c>
      <c r="D7" s="386">
        <f>'B1'!D10</f>
        <v>134748.66999999998</v>
      </c>
      <c r="E7" s="387">
        <f>D7-BD7</f>
        <v>133609.54999999999</v>
      </c>
      <c r="F7" s="388"/>
      <c r="G7" s="395"/>
      <c r="H7" s="388"/>
      <c r="I7" s="388"/>
      <c r="J7" s="388"/>
      <c r="K7" s="388"/>
      <c r="L7" s="388"/>
      <c r="M7" s="395"/>
      <c r="N7" s="388"/>
      <c r="O7" s="388"/>
      <c r="P7" s="388"/>
      <c r="Q7" s="388"/>
      <c r="R7" s="388"/>
      <c r="S7" s="388"/>
      <c r="T7" s="388"/>
      <c r="U7" s="388"/>
      <c r="V7" s="388"/>
      <c r="W7" s="388"/>
      <c r="X7" s="388"/>
      <c r="Y7" s="388"/>
      <c r="Z7" s="395"/>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9">
        <f>BD8+SUM(BD10:BD14)+SUM(BD16:BD18)</f>
        <v>1139.1199999999997</v>
      </c>
      <c r="BE7" s="406">
        <f>'B6'!H8</f>
        <v>134312.33999999997</v>
      </c>
      <c r="BG7" s="439"/>
    </row>
    <row r="8" spans="1:59">
      <c r="A8" s="432" t="s">
        <v>139</v>
      </c>
      <c r="B8" s="310" t="s">
        <v>8</v>
      </c>
      <c r="C8" s="432" t="s">
        <v>9</v>
      </c>
      <c r="D8" s="386">
        <f>'B1'!D11</f>
        <v>1206.1199999999999</v>
      </c>
      <c r="E8" s="388"/>
      <c r="F8" s="387">
        <f>D8-BD8</f>
        <v>1197.1199999999999</v>
      </c>
      <c r="G8" s="395"/>
      <c r="H8" s="388"/>
      <c r="I8" s="388"/>
      <c r="J8" s="388"/>
      <c r="K8" s="388"/>
      <c r="L8" s="388"/>
      <c r="M8" s="395"/>
      <c r="N8" s="388"/>
      <c r="O8" s="388"/>
      <c r="P8" s="388"/>
      <c r="Q8" s="388"/>
      <c r="R8" s="388"/>
      <c r="S8" s="388"/>
      <c r="T8" s="388"/>
      <c r="U8" s="388"/>
      <c r="V8" s="388"/>
      <c r="W8" s="388"/>
      <c r="X8" s="388"/>
      <c r="Y8" s="388"/>
      <c r="Z8" s="395">
        <f>SUM(AA8:AP8)</f>
        <v>9</v>
      </c>
      <c r="AA8" s="388">
        <v>3</v>
      </c>
      <c r="AB8" s="388">
        <v>4.5</v>
      </c>
      <c r="AC8" s="388"/>
      <c r="AD8" s="388"/>
      <c r="AE8" s="388"/>
      <c r="AF8" s="388"/>
      <c r="AG8" s="388">
        <v>1.5</v>
      </c>
      <c r="AH8" s="388"/>
      <c r="AI8" s="388"/>
      <c r="AJ8" s="388"/>
      <c r="AK8" s="388"/>
      <c r="AL8" s="388"/>
      <c r="AM8" s="388"/>
      <c r="AN8" s="388"/>
      <c r="AO8" s="388"/>
      <c r="AP8" s="388"/>
      <c r="AQ8" s="388"/>
      <c r="AR8" s="388"/>
      <c r="AS8" s="388"/>
      <c r="AT8" s="388"/>
      <c r="AU8" s="388"/>
      <c r="AV8" s="388"/>
      <c r="AW8" s="388"/>
      <c r="AX8" s="388"/>
      <c r="AY8" s="388"/>
      <c r="AZ8" s="388"/>
      <c r="BA8" s="388"/>
      <c r="BB8" s="388"/>
      <c r="BC8" s="388"/>
      <c r="BD8" s="395">
        <f>SUM(AA8:BC8)+SUM(N8:Y8)+SUM(H8:L8)</f>
        <v>9</v>
      </c>
      <c r="BE8" s="386">
        <f>'B6'!H9</f>
        <v>1197.1199999999999</v>
      </c>
      <c r="BG8" s="439"/>
    </row>
    <row r="9" spans="1:59" s="396" customFormat="1">
      <c r="A9" s="391"/>
      <c r="B9" s="392" t="s">
        <v>10</v>
      </c>
      <c r="C9" s="393" t="s">
        <v>11</v>
      </c>
      <c r="D9" s="394">
        <f>'B1'!D12</f>
        <v>737.82999999999993</v>
      </c>
      <c r="E9" s="395"/>
      <c r="F9" s="395"/>
      <c r="G9" s="387">
        <f>D9-BD9</f>
        <v>733.12999999999988</v>
      </c>
      <c r="H9" s="395"/>
      <c r="I9" s="395"/>
      <c r="J9" s="395"/>
      <c r="K9" s="395"/>
      <c r="L9" s="395"/>
      <c r="M9" s="395"/>
      <c r="N9" s="395"/>
      <c r="O9" s="395"/>
      <c r="P9" s="395"/>
      <c r="Q9" s="395"/>
      <c r="R9" s="395"/>
      <c r="S9" s="395"/>
      <c r="T9" s="395"/>
      <c r="U9" s="395"/>
      <c r="V9" s="395"/>
      <c r="W9" s="395"/>
      <c r="X9" s="395"/>
      <c r="Y9" s="395"/>
      <c r="Z9" s="395">
        <f t="shared" ref="Z9:Z27" si="0">SUM(AA9:AP9)</f>
        <v>4.7</v>
      </c>
      <c r="AA9" s="395">
        <v>2.2000000000000002</v>
      </c>
      <c r="AB9" s="395">
        <v>2.5</v>
      </c>
      <c r="AC9" s="395"/>
      <c r="AD9" s="395"/>
      <c r="AE9" s="395"/>
      <c r="AF9" s="395"/>
      <c r="AG9" s="395"/>
      <c r="AH9" s="395"/>
      <c r="AI9" s="395"/>
      <c r="AJ9" s="395"/>
      <c r="AK9" s="395"/>
      <c r="AL9" s="395"/>
      <c r="AM9" s="395"/>
      <c r="AN9" s="395"/>
      <c r="AO9" s="395"/>
      <c r="AP9" s="395"/>
      <c r="AQ9" s="395"/>
      <c r="AR9" s="395"/>
      <c r="AS9" s="395"/>
      <c r="AT9" s="395"/>
      <c r="AU9" s="395"/>
      <c r="AV9" s="395"/>
      <c r="AW9" s="395"/>
      <c r="AX9" s="395"/>
      <c r="AY9" s="395"/>
      <c r="AZ9" s="395"/>
      <c r="BA9" s="395"/>
      <c r="BB9" s="395"/>
      <c r="BC9" s="395"/>
      <c r="BD9" s="395">
        <f>SUM(H9:L9)+SUM(N9:Y9)+SUM(AA9:BC9)</f>
        <v>4.7</v>
      </c>
      <c r="BE9" s="386">
        <f>'B6'!H10</f>
        <v>733.13000000000011</v>
      </c>
      <c r="BG9" s="439"/>
    </row>
    <row r="10" spans="1:59">
      <c r="A10" s="432" t="s">
        <v>140</v>
      </c>
      <c r="B10" s="310" t="s">
        <v>12</v>
      </c>
      <c r="C10" s="432" t="s">
        <v>13</v>
      </c>
      <c r="D10" s="386">
        <f>'B1'!D13</f>
        <v>15442.13</v>
      </c>
      <c r="E10" s="388"/>
      <c r="F10" s="388"/>
      <c r="G10" s="395"/>
      <c r="H10" s="387">
        <f>D10-BD10</f>
        <v>14762.83</v>
      </c>
      <c r="I10" s="388">
        <v>102.2</v>
      </c>
      <c r="J10" s="388"/>
      <c r="K10" s="388"/>
      <c r="L10" s="388">
        <v>364.9</v>
      </c>
      <c r="M10" s="395"/>
      <c r="N10" s="388">
        <v>3.03</v>
      </c>
      <c r="O10" s="388"/>
      <c r="P10" s="388">
        <v>22</v>
      </c>
      <c r="Q10" s="388"/>
      <c r="R10" s="388">
        <v>2</v>
      </c>
      <c r="S10" s="388">
        <v>1.08</v>
      </c>
      <c r="T10" s="388"/>
      <c r="U10" s="388">
        <v>5</v>
      </c>
      <c r="V10" s="388"/>
      <c r="W10" s="388">
        <f>5.5+20</f>
        <v>25.5</v>
      </c>
      <c r="X10" s="388"/>
      <c r="Y10" s="388">
        <v>8.9</v>
      </c>
      <c r="Z10" s="395">
        <f t="shared" si="0"/>
        <v>85.499999999999986</v>
      </c>
      <c r="AA10" s="388">
        <v>34.729999999999997</v>
      </c>
      <c r="AB10" s="388">
        <v>23.4</v>
      </c>
      <c r="AC10" s="388">
        <v>0.05</v>
      </c>
      <c r="AD10" s="388"/>
      <c r="AE10" s="388">
        <v>0.77</v>
      </c>
      <c r="AF10" s="388">
        <v>0.02</v>
      </c>
      <c r="AG10" s="388">
        <v>11.63</v>
      </c>
      <c r="AH10" s="388"/>
      <c r="AI10" s="388"/>
      <c r="AJ10" s="388"/>
      <c r="AK10" s="388">
        <v>10</v>
      </c>
      <c r="AL10" s="388"/>
      <c r="AM10" s="388">
        <v>4.5999999999999996</v>
      </c>
      <c r="AN10" s="388"/>
      <c r="AO10" s="388"/>
      <c r="AP10" s="388">
        <v>0.3</v>
      </c>
      <c r="AQ10" s="388"/>
      <c r="AR10" s="388">
        <v>0.13</v>
      </c>
      <c r="AS10" s="388">
        <v>1.57</v>
      </c>
      <c r="AT10" s="388">
        <f>40.76+2.7</f>
        <v>43.46</v>
      </c>
      <c r="AU10" s="388">
        <v>4.26</v>
      </c>
      <c r="AV10" s="388">
        <v>1.75</v>
      </c>
      <c r="AW10" s="388"/>
      <c r="AX10" s="388"/>
      <c r="AY10" s="388"/>
      <c r="AZ10" s="388"/>
      <c r="BA10" s="388"/>
      <c r="BB10" s="388">
        <v>8.02</v>
      </c>
      <c r="BC10" s="388"/>
      <c r="BD10" s="395">
        <f>F10+SUM(I10:L10)+SUM(N10:Y10)+SUM(AA10:BC10)</f>
        <v>679.3</v>
      </c>
      <c r="BE10" s="386">
        <f>'B6'!H11</f>
        <v>14772.83</v>
      </c>
      <c r="BG10" s="439"/>
    </row>
    <row r="11" spans="1:59">
      <c r="A11" s="432" t="s">
        <v>141</v>
      </c>
      <c r="B11" s="310" t="s">
        <v>14</v>
      </c>
      <c r="C11" s="432" t="s">
        <v>15</v>
      </c>
      <c r="D11" s="386">
        <f>'B1'!D14</f>
        <v>27276.15</v>
      </c>
      <c r="E11" s="388"/>
      <c r="F11" s="388"/>
      <c r="G11" s="395"/>
      <c r="H11" s="388">
        <v>10</v>
      </c>
      <c r="I11" s="387">
        <f>D11-BD11</f>
        <v>26915.040000000001</v>
      </c>
      <c r="J11" s="388"/>
      <c r="K11" s="388"/>
      <c r="L11" s="388">
        <v>152.57</v>
      </c>
      <c r="M11" s="395"/>
      <c r="N11" s="388">
        <v>4.08</v>
      </c>
      <c r="O11" s="388"/>
      <c r="P11" s="388">
        <v>29.01</v>
      </c>
      <c r="Q11" s="388"/>
      <c r="R11" s="388"/>
      <c r="S11" s="388">
        <v>1.3</v>
      </c>
      <c r="T11" s="388"/>
      <c r="U11" s="388">
        <v>20</v>
      </c>
      <c r="V11" s="388"/>
      <c r="W11" s="388">
        <v>3.57</v>
      </c>
      <c r="X11" s="388"/>
      <c r="Y11" s="388"/>
      <c r="Z11" s="395">
        <f t="shared" si="0"/>
        <v>90.06</v>
      </c>
      <c r="AA11" s="388">
        <v>42.87</v>
      </c>
      <c r="AB11" s="388">
        <v>32</v>
      </c>
      <c r="AC11" s="388"/>
      <c r="AD11" s="388"/>
      <c r="AE11" s="388">
        <v>0.7</v>
      </c>
      <c r="AF11" s="388"/>
      <c r="AG11" s="388">
        <v>5.99</v>
      </c>
      <c r="AH11" s="388"/>
      <c r="AI11" s="388"/>
      <c r="AJ11" s="388"/>
      <c r="AK11" s="388">
        <v>8.5</v>
      </c>
      <c r="AL11" s="388"/>
      <c r="AM11" s="388"/>
      <c r="AN11" s="388"/>
      <c r="AO11" s="388"/>
      <c r="AP11" s="388"/>
      <c r="AQ11" s="388"/>
      <c r="AR11" s="388"/>
      <c r="AS11" s="388">
        <v>1.2</v>
      </c>
      <c r="AT11" s="388">
        <f>36.38+4.3</f>
        <v>40.68</v>
      </c>
      <c r="AU11" s="388">
        <v>4.6399999999999997</v>
      </c>
      <c r="AV11" s="388"/>
      <c r="AW11" s="388"/>
      <c r="AX11" s="388"/>
      <c r="AY11" s="388"/>
      <c r="AZ11" s="388"/>
      <c r="BA11" s="388"/>
      <c r="BB11" s="388">
        <v>4</v>
      </c>
      <c r="BC11" s="388"/>
      <c r="BD11" s="395">
        <f>F11+SUM(J11:L11)+H11+SUM(N11:Y11)+SUM(AA11:BC11)</f>
        <v>361.11</v>
      </c>
      <c r="BE11" s="386">
        <f>'B6'!H12</f>
        <v>27032.239999999998</v>
      </c>
      <c r="BG11" s="439"/>
    </row>
    <row r="12" spans="1:59">
      <c r="A12" s="432" t="s">
        <v>142</v>
      </c>
      <c r="B12" s="310" t="s">
        <v>16</v>
      </c>
      <c r="C12" s="432" t="s">
        <v>17</v>
      </c>
      <c r="D12" s="386">
        <f>'B1'!D15</f>
        <v>13322.6</v>
      </c>
      <c r="E12" s="388"/>
      <c r="F12" s="388"/>
      <c r="G12" s="395"/>
      <c r="H12" s="388"/>
      <c r="I12" s="388"/>
      <c r="J12" s="387">
        <f>D12-BD12</f>
        <v>13285.24</v>
      </c>
      <c r="K12" s="388"/>
      <c r="L12" s="388"/>
      <c r="M12" s="395"/>
      <c r="N12" s="388"/>
      <c r="O12" s="388"/>
      <c r="P12" s="388"/>
      <c r="Q12" s="388"/>
      <c r="R12" s="388"/>
      <c r="S12" s="388"/>
      <c r="T12" s="388"/>
      <c r="U12" s="388"/>
      <c r="V12" s="388"/>
      <c r="W12" s="388"/>
      <c r="X12" s="388"/>
      <c r="Y12" s="388"/>
      <c r="Z12" s="395">
        <f t="shared" si="0"/>
        <v>36.260000000000005</v>
      </c>
      <c r="AA12" s="388">
        <v>16</v>
      </c>
      <c r="AB12" s="388"/>
      <c r="AC12" s="388"/>
      <c r="AD12" s="388"/>
      <c r="AE12" s="388"/>
      <c r="AF12" s="388"/>
      <c r="AG12" s="388">
        <v>20.260000000000002</v>
      </c>
      <c r="AH12" s="388"/>
      <c r="AI12" s="388"/>
      <c r="AJ12" s="388"/>
      <c r="AK12" s="388"/>
      <c r="AL12" s="388"/>
      <c r="AM12" s="388"/>
      <c r="AN12" s="388"/>
      <c r="AO12" s="388"/>
      <c r="AP12" s="388"/>
      <c r="AQ12" s="388"/>
      <c r="AR12" s="388"/>
      <c r="AS12" s="388"/>
      <c r="AT12" s="388"/>
      <c r="AU12" s="388"/>
      <c r="AV12" s="388"/>
      <c r="AW12" s="388"/>
      <c r="AX12" s="388"/>
      <c r="AY12" s="388"/>
      <c r="AZ12" s="388"/>
      <c r="BA12" s="388"/>
      <c r="BB12" s="388">
        <v>1.1000000000000001</v>
      </c>
      <c r="BC12" s="388"/>
      <c r="BD12" s="395">
        <f>SUM(H12:I12)+F12+SUM(K12:L12)+SUM(N12:Y12)+SUM(AA12:BC12)</f>
        <v>37.360000000000007</v>
      </c>
      <c r="BE12" s="386">
        <f>'B6'!H13</f>
        <v>13285.24</v>
      </c>
      <c r="BG12" s="439"/>
    </row>
    <row r="13" spans="1:59">
      <c r="A13" s="432" t="s">
        <v>143</v>
      </c>
      <c r="B13" s="310" t="s">
        <v>18</v>
      </c>
      <c r="C13" s="432" t="s">
        <v>19</v>
      </c>
      <c r="D13" s="386">
        <f>'B1'!D16</f>
        <v>43026.239999999998</v>
      </c>
      <c r="E13" s="388"/>
      <c r="F13" s="388"/>
      <c r="G13" s="395"/>
      <c r="H13" s="388"/>
      <c r="I13" s="388"/>
      <c r="J13" s="388"/>
      <c r="K13" s="387">
        <f>D13-BD13</f>
        <v>43004.24</v>
      </c>
      <c r="L13" s="388"/>
      <c r="M13" s="395"/>
      <c r="N13" s="388"/>
      <c r="O13" s="388"/>
      <c r="P13" s="388"/>
      <c r="Q13" s="388"/>
      <c r="R13" s="388"/>
      <c r="S13" s="388"/>
      <c r="T13" s="388"/>
      <c r="U13" s="388"/>
      <c r="V13" s="388"/>
      <c r="W13" s="388"/>
      <c r="X13" s="388"/>
      <c r="Y13" s="388"/>
      <c r="Z13" s="395">
        <f t="shared" si="0"/>
        <v>22</v>
      </c>
      <c r="AA13" s="388">
        <v>22</v>
      </c>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95">
        <f>F13+SUM(H13:J13)+L13+SUM(N13:Y13)+SUM(AA13:BC13)</f>
        <v>22</v>
      </c>
      <c r="BE13" s="386">
        <f>'B6'!H14</f>
        <v>43004.24</v>
      </c>
      <c r="BG13" s="439"/>
    </row>
    <row r="14" spans="1:59">
      <c r="A14" s="432" t="s">
        <v>144</v>
      </c>
      <c r="B14" s="310" t="s">
        <v>20</v>
      </c>
      <c r="C14" s="432" t="s">
        <v>21</v>
      </c>
      <c r="D14" s="386">
        <f>'B1'!D17</f>
        <v>34255.929999999993</v>
      </c>
      <c r="E14" s="388"/>
      <c r="F14" s="388"/>
      <c r="G14" s="395"/>
      <c r="H14" s="388"/>
      <c r="I14" s="388"/>
      <c r="J14" s="388"/>
      <c r="K14" s="388"/>
      <c r="L14" s="387">
        <f>D14-BD14</f>
        <v>34225.87999999999</v>
      </c>
      <c r="M14" s="395"/>
      <c r="N14" s="388"/>
      <c r="O14" s="388"/>
      <c r="P14" s="388"/>
      <c r="Q14" s="388"/>
      <c r="R14" s="388"/>
      <c r="S14" s="388"/>
      <c r="T14" s="388"/>
      <c r="U14" s="388"/>
      <c r="V14" s="388"/>
      <c r="W14" s="388"/>
      <c r="X14" s="388"/>
      <c r="Y14" s="388"/>
      <c r="Z14" s="395">
        <f t="shared" si="0"/>
        <v>30</v>
      </c>
      <c r="AA14" s="388">
        <v>30</v>
      </c>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v>0.05</v>
      </c>
      <c r="BC14" s="388"/>
      <c r="BD14" s="395">
        <f>F14+SUM(H14:K14)+SUM(N14:Y14)+SUM(AA14:BC14)</f>
        <v>30.05</v>
      </c>
      <c r="BE14" s="386">
        <f>'B6'!H15</f>
        <v>34743.35</v>
      </c>
      <c r="BG14" s="439"/>
    </row>
    <row r="15" spans="1:59" s="446" customFormat="1" ht="31.5">
      <c r="A15" s="393"/>
      <c r="B15" s="392" t="s">
        <v>277</v>
      </c>
      <c r="C15" s="393" t="s">
        <v>281</v>
      </c>
      <c r="D15" s="444">
        <f>'B1'!D18</f>
        <v>29661.95</v>
      </c>
      <c r="E15" s="440"/>
      <c r="F15" s="440"/>
      <c r="G15" s="440"/>
      <c r="H15" s="440"/>
      <c r="I15" s="440"/>
      <c r="J15" s="440"/>
      <c r="K15" s="440"/>
      <c r="L15" s="440"/>
      <c r="M15" s="441">
        <f>D15-BD15</f>
        <v>29661.95</v>
      </c>
      <c r="N15" s="440"/>
      <c r="O15" s="440"/>
      <c r="P15" s="440"/>
      <c r="Q15" s="440"/>
      <c r="R15" s="440"/>
      <c r="S15" s="440"/>
      <c r="T15" s="440"/>
      <c r="U15" s="440"/>
      <c r="V15" s="440"/>
      <c r="W15" s="440"/>
      <c r="X15" s="440"/>
      <c r="Y15" s="440"/>
      <c r="Z15" s="440">
        <f t="shared" si="0"/>
        <v>0</v>
      </c>
      <c r="AA15" s="440"/>
      <c r="AB15" s="440"/>
      <c r="AC15" s="440"/>
      <c r="AD15" s="440"/>
      <c r="AE15" s="440"/>
      <c r="AF15" s="440"/>
      <c r="AG15" s="440"/>
      <c r="AH15" s="440"/>
      <c r="AI15" s="440"/>
      <c r="AJ15" s="440"/>
      <c r="AK15" s="440"/>
      <c r="AL15" s="440"/>
      <c r="AM15" s="440"/>
      <c r="AN15" s="440"/>
      <c r="AO15" s="440"/>
      <c r="AP15" s="440"/>
      <c r="AQ15" s="440"/>
      <c r="AR15" s="440"/>
      <c r="AS15" s="440"/>
      <c r="AT15" s="440"/>
      <c r="AU15" s="440"/>
      <c r="AV15" s="440"/>
      <c r="AW15" s="440"/>
      <c r="AX15" s="440"/>
      <c r="AY15" s="440"/>
      <c r="AZ15" s="440"/>
      <c r="BA15" s="440"/>
      <c r="BB15" s="440"/>
      <c r="BC15" s="440"/>
      <c r="BD15" s="440">
        <f>F15+SUM(H15:L15)+SUM(N15:Y15)+SUM(AA15:BC15)</f>
        <v>0</v>
      </c>
      <c r="BE15" s="445">
        <f>'B6'!H16</f>
        <v>29661.95</v>
      </c>
      <c r="BG15" s="447"/>
    </row>
    <row r="16" spans="1:59">
      <c r="A16" s="432" t="s">
        <v>145</v>
      </c>
      <c r="B16" s="310" t="s">
        <v>22</v>
      </c>
      <c r="C16" s="432" t="s">
        <v>23</v>
      </c>
      <c r="D16" s="386">
        <f>'B1'!D19</f>
        <v>122.69</v>
      </c>
      <c r="E16" s="388"/>
      <c r="F16" s="388"/>
      <c r="G16" s="395"/>
      <c r="H16" s="388"/>
      <c r="I16" s="388"/>
      <c r="J16" s="388"/>
      <c r="K16" s="388"/>
      <c r="L16" s="388"/>
      <c r="M16" s="395"/>
      <c r="N16" s="387">
        <f>D16-BD16</f>
        <v>122.39</v>
      </c>
      <c r="O16" s="388"/>
      <c r="P16" s="388"/>
      <c r="Q16" s="388"/>
      <c r="R16" s="388"/>
      <c r="S16" s="388"/>
      <c r="T16" s="388"/>
      <c r="U16" s="388"/>
      <c r="V16" s="388"/>
      <c r="W16" s="388"/>
      <c r="X16" s="388"/>
      <c r="Y16" s="388"/>
      <c r="Z16" s="395">
        <f t="shared" si="0"/>
        <v>0.3</v>
      </c>
      <c r="AA16" s="388">
        <v>0.3</v>
      </c>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95">
        <f>F16+SUM(H16:L16)+SUM(O16:Y16)+SUM(AA16:BC16)</f>
        <v>0.3</v>
      </c>
      <c r="BE16" s="386">
        <f>'B6'!H17</f>
        <v>129.5</v>
      </c>
      <c r="BG16" s="439"/>
    </row>
    <row r="17" spans="1:59">
      <c r="A17" s="432" t="s">
        <v>146</v>
      </c>
      <c r="B17" s="310" t="s">
        <v>24</v>
      </c>
      <c r="C17" s="432" t="s">
        <v>25</v>
      </c>
      <c r="D17" s="386">
        <f>'B1'!D20</f>
        <v>0</v>
      </c>
      <c r="E17" s="388"/>
      <c r="F17" s="388"/>
      <c r="G17" s="395"/>
      <c r="H17" s="388"/>
      <c r="I17" s="388"/>
      <c r="J17" s="388"/>
      <c r="K17" s="388"/>
      <c r="L17" s="388"/>
      <c r="M17" s="395"/>
      <c r="N17" s="388"/>
      <c r="O17" s="387">
        <f>D17-BD17</f>
        <v>0</v>
      </c>
      <c r="P17" s="388"/>
      <c r="Q17" s="388"/>
      <c r="R17" s="388"/>
      <c r="S17" s="388"/>
      <c r="T17" s="388"/>
      <c r="U17" s="388"/>
      <c r="V17" s="388"/>
      <c r="W17" s="388"/>
      <c r="X17" s="388"/>
      <c r="Y17" s="388"/>
      <c r="Z17" s="395">
        <f t="shared" si="0"/>
        <v>0</v>
      </c>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95">
        <f>F17+SUM(H17:L17)+N17+SUM(P17:Y17)+SUM(AA17:BC17)</f>
        <v>0</v>
      </c>
      <c r="BE17" s="386">
        <f>'B6'!H18</f>
        <v>0</v>
      </c>
      <c r="BG17" s="439"/>
    </row>
    <row r="18" spans="1:59">
      <c r="A18" s="432" t="s">
        <v>147</v>
      </c>
      <c r="B18" s="310" t="s">
        <v>26</v>
      </c>
      <c r="C18" s="432" t="s">
        <v>27</v>
      </c>
      <c r="D18" s="386">
        <f>'B1'!D21</f>
        <v>96.81</v>
      </c>
      <c r="E18" s="388"/>
      <c r="F18" s="388"/>
      <c r="G18" s="395"/>
      <c r="H18" s="388"/>
      <c r="I18" s="388"/>
      <c r="J18" s="388"/>
      <c r="K18" s="388"/>
      <c r="L18" s="388"/>
      <c r="M18" s="395"/>
      <c r="N18" s="388"/>
      <c r="O18" s="388"/>
      <c r="P18" s="387">
        <f>D18-BD18</f>
        <v>96.81</v>
      </c>
      <c r="Q18" s="388"/>
      <c r="R18" s="388"/>
      <c r="S18" s="388"/>
      <c r="T18" s="388"/>
      <c r="U18" s="388"/>
      <c r="V18" s="388"/>
      <c r="W18" s="388"/>
      <c r="X18" s="388"/>
      <c r="Y18" s="388"/>
      <c r="Z18" s="395">
        <f t="shared" si="0"/>
        <v>0</v>
      </c>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95">
        <f>F18+SUM(H18:L18)+SUM(N18:O18)+SUM(Q18:Y18)+SUM(AA18:BC18)</f>
        <v>0</v>
      </c>
      <c r="BE18" s="386">
        <f>'B6'!H19</f>
        <v>147.82</v>
      </c>
      <c r="BG18" s="439"/>
    </row>
    <row r="19" spans="1:59" s="403" customFormat="1">
      <c r="A19" s="308">
        <v>2</v>
      </c>
      <c r="B19" s="309" t="s">
        <v>28</v>
      </c>
      <c r="C19" s="308" t="s">
        <v>29</v>
      </c>
      <c r="D19" s="442">
        <f>'B1'!D22</f>
        <v>8253.2800000000007</v>
      </c>
      <c r="E19" s="400"/>
      <c r="F19" s="400"/>
      <c r="G19" s="402"/>
      <c r="H19" s="400"/>
      <c r="I19" s="400"/>
      <c r="J19" s="400"/>
      <c r="K19" s="400"/>
      <c r="L19" s="400"/>
      <c r="M19" s="402"/>
      <c r="N19" s="400"/>
      <c r="O19" s="400"/>
      <c r="P19" s="400"/>
      <c r="Q19" s="401">
        <f>D19-BD19</f>
        <v>8232.19</v>
      </c>
      <c r="R19" s="400"/>
      <c r="S19" s="400"/>
      <c r="T19" s="400"/>
      <c r="U19" s="400"/>
      <c r="V19" s="400"/>
      <c r="W19" s="400"/>
      <c r="X19" s="400"/>
      <c r="Y19" s="400"/>
      <c r="Z19" s="402">
        <f t="shared" si="0"/>
        <v>0</v>
      </c>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400"/>
      <c r="AX19" s="400"/>
      <c r="AY19" s="400"/>
      <c r="AZ19" s="400"/>
      <c r="BA19" s="400"/>
      <c r="BB19" s="400"/>
      <c r="BC19" s="400"/>
      <c r="BD19" s="402">
        <f>SUM(BD20:BD56)-BD28</f>
        <v>21.09</v>
      </c>
      <c r="BE19" s="442">
        <f>'B6'!H20</f>
        <v>8705.16</v>
      </c>
      <c r="BG19" s="443"/>
    </row>
    <row r="20" spans="1:59">
      <c r="A20" s="432" t="s">
        <v>148</v>
      </c>
      <c r="B20" s="310" t="s">
        <v>30</v>
      </c>
      <c r="C20" s="432" t="s">
        <v>31</v>
      </c>
      <c r="D20" s="386">
        <f>'B1'!D23</f>
        <v>117.53</v>
      </c>
      <c r="E20" s="388"/>
      <c r="F20" s="388"/>
      <c r="G20" s="395"/>
      <c r="H20" s="388"/>
      <c r="I20" s="388"/>
      <c r="J20" s="388"/>
      <c r="K20" s="388"/>
      <c r="L20" s="388"/>
      <c r="M20" s="395"/>
      <c r="N20" s="388"/>
      <c r="O20" s="388"/>
      <c r="P20" s="388"/>
      <c r="Q20" s="388"/>
      <c r="R20" s="387">
        <f>D20-BD20</f>
        <v>117.53</v>
      </c>
      <c r="S20" s="388"/>
      <c r="T20" s="388"/>
      <c r="U20" s="388"/>
      <c r="V20" s="388"/>
      <c r="W20" s="388"/>
      <c r="X20" s="388"/>
      <c r="Y20" s="388"/>
      <c r="Z20" s="395">
        <f t="shared" si="0"/>
        <v>0</v>
      </c>
      <c r="AA20" s="388"/>
      <c r="AB20" s="388"/>
      <c r="AC20" s="388"/>
      <c r="AD20" s="388"/>
      <c r="AE20" s="388"/>
      <c r="AF20" s="388"/>
      <c r="AG20" s="388"/>
      <c r="AH20" s="388"/>
      <c r="AI20" s="388"/>
      <c r="AJ20" s="388"/>
      <c r="AK20" s="388"/>
      <c r="AL20" s="388"/>
      <c r="AM20" s="388"/>
      <c r="AN20" s="388"/>
      <c r="AO20" s="388"/>
      <c r="AP20" s="388"/>
      <c r="AQ20" s="388"/>
      <c r="AR20" s="388"/>
      <c r="AS20" s="388"/>
      <c r="AT20" s="388"/>
      <c r="AU20" s="388"/>
      <c r="AV20" s="388"/>
      <c r="AW20" s="388"/>
      <c r="AX20" s="388"/>
      <c r="AY20" s="388"/>
      <c r="AZ20" s="388"/>
      <c r="BA20" s="388"/>
      <c r="BB20" s="388"/>
      <c r="BC20" s="388"/>
      <c r="BD20" s="395">
        <f>F20+SUM(H20:L20)+SUM(N20:Q20)+SUM(S20:Y20)+SUM(AA20:BC20)</f>
        <v>0</v>
      </c>
      <c r="BE20" s="386">
        <f>'B6'!H21</f>
        <v>119.86999999999999</v>
      </c>
      <c r="BG20" s="439"/>
    </row>
    <row r="21" spans="1:59">
      <c r="A21" s="432" t="s">
        <v>138</v>
      </c>
      <c r="B21" s="310" t="s">
        <v>32</v>
      </c>
      <c r="C21" s="432" t="s">
        <v>33</v>
      </c>
      <c r="D21" s="386">
        <f>'B1'!D24</f>
        <v>0.97</v>
      </c>
      <c r="E21" s="388"/>
      <c r="F21" s="388"/>
      <c r="G21" s="395"/>
      <c r="H21" s="388"/>
      <c r="I21" s="388"/>
      <c r="J21" s="388"/>
      <c r="K21" s="388"/>
      <c r="L21" s="388"/>
      <c r="M21" s="395"/>
      <c r="N21" s="388"/>
      <c r="O21" s="388"/>
      <c r="P21" s="388"/>
      <c r="Q21" s="388"/>
      <c r="R21" s="388"/>
      <c r="S21" s="387">
        <f>D21-BD21</f>
        <v>0.97</v>
      </c>
      <c r="T21" s="388"/>
      <c r="U21" s="388"/>
      <c r="V21" s="388"/>
      <c r="W21" s="388"/>
      <c r="X21" s="388"/>
      <c r="Y21" s="388"/>
      <c r="Z21" s="395">
        <f t="shared" si="0"/>
        <v>0</v>
      </c>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388"/>
      <c r="AY21" s="388"/>
      <c r="AZ21" s="388"/>
      <c r="BA21" s="388"/>
      <c r="BB21" s="388"/>
      <c r="BC21" s="388"/>
      <c r="BD21" s="395">
        <f>F21+SUM(H21:L21)+SUM(N21:R21)+SUM(T21:Y21)+SUM(AA21:BC21)</f>
        <v>0</v>
      </c>
      <c r="BE21" s="386">
        <f>'B6'!H22</f>
        <v>3.4099999999999997</v>
      </c>
      <c r="BG21" s="439"/>
    </row>
    <row r="22" spans="1:59">
      <c r="A22" s="432" t="s">
        <v>149</v>
      </c>
      <c r="B22" s="310" t="s">
        <v>34</v>
      </c>
      <c r="C22" s="432" t="s">
        <v>35</v>
      </c>
      <c r="D22" s="386">
        <f>'B1'!D25</f>
        <v>0</v>
      </c>
      <c r="E22" s="388"/>
      <c r="F22" s="388"/>
      <c r="G22" s="395"/>
      <c r="H22" s="388"/>
      <c r="I22" s="388"/>
      <c r="J22" s="388"/>
      <c r="K22" s="388"/>
      <c r="L22" s="388"/>
      <c r="M22" s="395"/>
      <c r="N22" s="388"/>
      <c r="O22" s="388"/>
      <c r="P22" s="388"/>
      <c r="Q22" s="388" t="s">
        <v>313</v>
      </c>
      <c r="R22" s="388"/>
      <c r="S22" s="388"/>
      <c r="T22" s="387">
        <f>D22-BD22</f>
        <v>0</v>
      </c>
      <c r="U22" s="388"/>
      <c r="V22" s="388"/>
      <c r="W22" s="388"/>
      <c r="X22" s="388"/>
      <c r="Y22" s="388"/>
      <c r="Z22" s="395">
        <f t="shared" si="0"/>
        <v>0</v>
      </c>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388"/>
      <c r="AY22" s="388"/>
      <c r="AZ22" s="388"/>
      <c r="BA22" s="388"/>
      <c r="BB22" s="388"/>
      <c r="BC22" s="388"/>
      <c r="BD22" s="395">
        <f>F22+SUM(H22:L22)+SUM(N22:S22)+SUM(U22:Y22)+SUM(AA22:BC22)</f>
        <v>0</v>
      </c>
      <c r="BE22" s="386">
        <f>'B6'!H23</f>
        <v>0</v>
      </c>
      <c r="BG22" s="439"/>
    </row>
    <row r="23" spans="1:59">
      <c r="A23" s="432" t="s">
        <v>150</v>
      </c>
      <c r="B23" s="310" t="s">
        <v>36</v>
      </c>
      <c r="C23" s="432" t="s">
        <v>37</v>
      </c>
      <c r="D23" s="386">
        <f>'B1'!D26</f>
        <v>0</v>
      </c>
      <c r="E23" s="388"/>
      <c r="F23" s="388"/>
      <c r="G23" s="395"/>
      <c r="H23" s="388"/>
      <c r="I23" s="388"/>
      <c r="J23" s="388"/>
      <c r="K23" s="388"/>
      <c r="L23" s="388"/>
      <c r="M23" s="395"/>
      <c r="N23" s="388"/>
      <c r="O23" s="388"/>
      <c r="P23" s="388"/>
      <c r="Q23" s="388"/>
      <c r="R23" s="388"/>
      <c r="S23" s="388"/>
      <c r="T23" s="388"/>
      <c r="U23" s="387">
        <f>D23-BD23</f>
        <v>0</v>
      </c>
      <c r="V23" s="388"/>
      <c r="W23" s="388"/>
      <c r="X23" s="388"/>
      <c r="Y23" s="388"/>
      <c r="Z23" s="395">
        <f t="shared" si="0"/>
        <v>0</v>
      </c>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388"/>
      <c r="AY23" s="388"/>
      <c r="AZ23" s="388"/>
      <c r="BA23" s="388"/>
      <c r="BB23" s="388"/>
      <c r="BC23" s="388"/>
      <c r="BD23" s="395">
        <f>SUM(AA23:BC23)+SUM(V23:Y23)+SUM(N23:T23)+SUM(H23:L23)+F23</f>
        <v>0</v>
      </c>
      <c r="BE23" s="386">
        <f>'B6'!H24</f>
        <v>25</v>
      </c>
      <c r="BG23" s="439"/>
    </row>
    <row r="24" spans="1:59">
      <c r="A24" s="432" t="s">
        <v>151</v>
      </c>
      <c r="B24" s="310" t="s">
        <v>38</v>
      </c>
      <c r="C24" s="432" t="s">
        <v>39</v>
      </c>
      <c r="D24" s="386">
        <f>'B1'!D27</f>
        <v>5.169999999999999</v>
      </c>
      <c r="E24" s="388"/>
      <c r="F24" s="388"/>
      <c r="G24" s="395"/>
      <c r="H24" s="388"/>
      <c r="I24" s="388"/>
      <c r="J24" s="388"/>
      <c r="K24" s="388"/>
      <c r="L24" s="388"/>
      <c r="M24" s="395"/>
      <c r="N24" s="388"/>
      <c r="O24" s="388"/>
      <c r="P24" s="388"/>
      <c r="Q24" s="388"/>
      <c r="R24" s="388"/>
      <c r="S24" s="388"/>
      <c r="T24" s="388"/>
      <c r="U24" s="388"/>
      <c r="V24" s="387">
        <f>D24-BD24</f>
        <v>5.169999999999999</v>
      </c>
      <c r="W24" s="388"/>
      <c r="X24" s="388"/>
      <c r="Y24" s="388"/>
      <c r="Z24" s="395">
        <f t="shared" si="0"/>
        <v>0</v>
      </c>
      <c r="AA24" s="388"/>
      <c r="AB24" s="388"/>
      <c r="AC24" s="388"/>
      <c r="AD24" s="388"/>
      <c r="AE24" s="388"/>
      <c r="AF24" s="388"/>
      <c r="AG24" s="388"/>
      <c r="AH24" s="388"/>
      <c r="AI24" s="388"/>
      <c r="AJ24" s="388"/>
      <c r="AK24" s="388"/>
      <c r="AL24" s="388"/>
      <c r="AM24" s="388"/>
      <c r="AN24" s="388"/>
      <c r="AO24" s="388"/>
      <c r="AP24" s="388"/>
      <c r="AQ24" s="388"/>
      <c r="AR24" s="388"/>
      <c r="AS24" s="388"/>
      <c r="AT24" s="388"/>
      <c r="AU24" s="388"/>
      <c r="AV24" s="388"/>
      <c r="AW24" s="388"/>
      <c r="AX24" s="388"/>
      <c r="AY24" s="388"/>
      <c r="AZ24" s="388"/>
      <c r="BA24" s="388"/>
      <c r="BB24" s="388"/>
      <c r="BC24" s="388"/>
      <c r="BD24" s="395">
        <f>F24+SUM(H24:L24)+SUM(N24:U24)+SUM(W24:Y24)+SUM(AA24:BC24)</f>
        <v>0</v>
      </c>
      <c r="BE24" s="386">
        <f>'B6'!H25</f>
        <v>5.169999999999999</v>
      </c>
      <c r="BG24" s="439"/>
    </row>
    <row r="25" spans="1:59">
      <c r="A25" s="432" t="s">
        <v>152</v>
      </c>
      <c r="B25" s="310" t="s">
        <v>40</v>
      </c>
      <c r="C25" s="432" t="s">
        <v>41</v>
      </c>
      <c r="D25" s="386">
        <f>'B1'!D28</f>
        <v>55.789999999999992</v>
      </c>
      <c r="E25" s="388"/>
      <c r="F25" s="388"/>
      <c r="G25" s="395"/>
      <c r="H25" s="388"/>
      <c r="I25" s="388"/>
      <c r="J25" s="388"/>
      <c r="K25" s="388"/>
      <c r="L25" s="388"/>
      <c r="M25" s="395"/>
      <c r="N25" s="388"/>
      <c r="O25" s="388"/>
      <c r="P25" s="388"/>
      <c r="Q25" s="388"/>
      <c r="R25" s="388"/>
      <c r="S25" s="388"/>
      <c r="T25" s="388"/>
      <c r="U25" s="388"/>
      <c r="V25" s="388"/>
      <c r="W25" s="387">
        <f>D25-BD25</f>
        <v>55.789999999999992</v>
      </c>
      <c r="X25" s="388"/>
      <c r="Y25" s="388"/>
      <c r="Z25" s="395">
        <f t="shared" si="0"/>
        <v>0</v>
      </c>
      <c r="AA25" s="388"/>
      <c r="AB25" s="388"/>
      <c r="AC25" s="388"/>
      <c r="AD25" s="388"/>
      <c r="AE25" s="388"/>
      <c r="AF25" s="388"/>
      <c r="AG25" s="388"/>
      <c r="AH25" s="388"/>
      <c r="AI25" s="388"/>
      <c r="AJ25" s="388"/>
      <c r="AK25" s="388"/>
      <c r="AL25" s="388"/>
      <c r="AM25" s="388"/>
      <c r="AN25" s="388"/>
      <c r="AO25" s="388"/>
      <c r="AP25" s="388"/>
      <c r="AQ25" s="388"/>
      <c r="AR25" s="388"/>
      <c r="AS25" s="388"/>
      <c r="AT25" s="388"/>
      <c r="AU25" s="388"/>
      <c r="AV25" s="388"/>
      <c r="AW25" s="388"/>
      <c r="AX25" s="388"/>
      <c r="AY25" s="388"/>
      <c r="AZ25" s="388"/>
      <c r="BA25" s="388"/>
      <c r="BB25" s="388"/>
      <c r="BC25" s="388"/>
      <c r="BD25" s="395">
        <f>F25+SUM(H25:L25)+SUM(N25:V25)+SUM(X25:Y25)+SUM(AA25:BC25)</f>
        <v>0</v>
      </c>
      <c r="BE25" s="386">
        <f>'B6'!H26</f>
        <v>84.859999999999985</v>
      </c>
      <c r="BG25" s="439"/>
    </row>
    <row r="26" spans="1:59">
      <c r="A26" s="432" t="s">
        <v>153</v>
      </c>
      <c r="B26" s="310" t="s">
        <v>42</v>
      </c>
      <c r="C26" s="432" t="s">
        <v>43</v>
      </c>
      <c r="D26" s="386">
        <f>'B1'!D29</f>
        <v>4.66</v>
      </c>
      <c r="E26" s="388"/>
      <c r="F26" s="388"/>
      <c r="G26" s="395"/>
      <c r="H26" s="388"/>
      <c r="I26" s="388"/>
      <c r="J26" s="388"/>
      <c r="K26" s="388"/>
      <c r="L26" s="388"/>
      <c r="M26" s="395"/>
      <c r="N26" s="388"/>
      <c r="O26" s="388"/>
      <c r="P26" s="388"/>
      <c r="Q26" s="388"/>
      <c r="R26" s="388"/>
      <c r="S26" s="388"/>
      <c r="T26" s="388"/>
      <c r="U26" s="388"/>
      <c r="V26" s="388"/>
      <c r="W26" s="388"/>
      <c r="X26" s="387">
        <f>D26-BD26</f>
        <v>4.66</v>
      </c>
      <c r="Y26" s="388"/>
      <c r="Z26" s="395">
        <f t="shared" si="0"/>
        <v>0</v>
      </c>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388"/>
      <c r="AY26" s="388"/>
      <c r="AZ26" s="388"/>
      <c r="BA26" s="388"/>
      <c r="BB26" s="388"/>
      <c r="BC26" s="388"/>
      <c r="BD26" s="395">
        <f>F26+SUM(H26:L26)+SUM(N26:W26)+Y26+SUM(AA26:BC26)</f>
        <v>0</v>
      </c>
      <c r="BE26" s="386">
        <f>'B6'!H27</f>
        <v>4.66</v>
      </c>
      <c r="BG26" s="439"/>
    </row>
    <row r="27" spans="1:59">
      <c r="A27" s="432" t="s">
        <v>154</v>
      </c>
      <c r="B27" s="310" t="s">
        <v>179</v>
      </c>
      <c r="C27" s="432" t="s">
        <v>66</v>
      </c>
      <c r="D27" s="386">
        <f>'B1'!D30</f>
        <v>22.740000000000002</v>
      </c>
      <c r="E27" s="388"/>
      <c r="F27" s="388"/>
      <c r="G27" s="395"/>
      <c r="H27" s="388"/>
      <c r="I27" s="388"/>
      <c r="J27" s="388"/>
      <c r="K27" s="388"/>
      <c r="L27" s="388"/>
      <c r="M27" s="395"/>
      <c r="N27" s="388"/>
      <c r="O27" s="388"/>
      <c r="P27" s="388"/>
      <c r="Q27" s="388"/>
      <c r="R27" s="388"/>
      <c r="S27" s="388"/>
      <c r="T27" s="388"/>
      <c r="U27" s="388"/>
      <c r="V27" s="388"/>
      <c r="W27" s="388"/>
      <c r="X27" s="388"/>
      <c r="Y27" s="387">
        <f>D27-BD27</f>
        <v>22.740000000000002</v>
      </c>
      <c r="Z27" s="395">
        <f t="shared" si="0"/>
        <v>0</v>
      </c>
      <c r="AA27" s="388"/>
      <c r="AB27" s="388"/>
      <c r="AC27" s="388"/>
      <c r="AD27" s="388"/>
      <c r="AE27" s="388"/>
      <c r="AF27" s="388"/>
      <c r="AG27" s="388"/>
      <c r="AH27" s="388"/>
      <c r="AI27" s="388"/>
      <c r="AJ27" s="388"/>
      <c r="AK27" s="388"/>
      <c r="AL27" s="388"/>
      <c r="AM27" s="388"/>
      <c r="AN27" s="388"/>
      <c r="AO27" s="388"/>
      <c r="AP27" s="388"/>
      <c r="AQ27" s="388"/>
      <c r="AR27" s="388"/>
      <c r="AS27" s="388"/>
      <c r="AT27" s="388"/>
      <c r="AU27" s="388"/>
      <c r="AV27" s="388"/>
      <c r="AW27" s="388"/>
      <c r="AX27" s="388"/>
      <c r="AY27" s="388"/>
      <c r="AZ27" s="388"/>
      <c r="BA27" s="388"/>
      <c r="BB27" s="388"/>
      <c r="BC27" s="388"/>
      <c r="BD27" s="395">
        <f>F27+SUM(H27:L27)+SUM(N27:X27)+SUM(AA27:BC27)</f>
        <v>0</v>
      </c>
      <c r="BE27" s="386">
        <f>'B6'!H28</f>
        <v>31.64</v>
      </c>
      <c r="BG27" s="439"/>
    </row>
    <row r="28" spans="1:59" s="311" customFormat="1">
      <c r="A28" s="397" t="s">
        <v>155</v>
      </c>
      <c r="B28" s="398" t="s">
        <v>180</v>
      </c>
      <c r="C28" s="397" t="s">
        <v>45</v>
      </c>
      <c r="D28" s="386">
        <f>'B1'!D31</f>
        <v>6091.9400000000005</v>
      </c>
      <c r="E28" s="399">
        <f>SUM(E29:E44)</f>
        <v>0</v>
      </c>
      <c r="F28" s="399">
        <f t="shared" ref="F28:X28" si="1">SUM(F29:F44)</f>
        <v>0</v>
      </c>
      <c r="G28" s="399">
        <f t="shared" si="1"/>
        <v>0</v>
      </c>
      <c r="H28" s="399">
        <f t="shared" si="1"/>
        <v>0</v>
      </c>
      <c r="I28" s="399">
        <f t="shared" si="1"/>
        <v>0</v>
      </c>
      <c r="J28" s="399">
        <f t="shared" si="1"/>
        <v>0</v>
      </c>
      <c r="K28" s="399">
        <f t="shared" si="1"/>
        <v>0</v>
      </c>
      <c r="L28" s="399">
        <f t="shared" si="1"/>
        <v>0</v>
      </c>
      <c r="M28" s="399">
        <f t="shared" si="1"/>
        <v>0</v>
      </c>
      <c r="N28" s="399"/>
      <c r="O28" s="399"/>
      <c r="P28" s="399">
        <f t="shared" si="1"/>
        <v>0</v>
      </c>
      <c r="Q28" s="399">
        <f t="shared" si="1"/>
        <v>0</v>
      </c>
      <c r="R28" s="399"/>
      <c r="S28" s="399"/>
      <c r="T28" s="399"/>
      <c r="U28" s="399"/>
      <c r="V28" s="399"/>
      <c r="W28" s="399">
        <f t="shared" si="1"/>
        <v>0</v>
      </c>
      <c r="X28" s="399">
        <f t="shared" si="1"/>
        <v>0</v>
      </c>
      <c r="Y28" s="399"/>
      <c r="Z28" s="387">
        <f>D28-BD28</f>
        <v>6091.9400000000005</v>
      </c>
      <c r="AA28" s="399"/>
      <c r="AB28" s="399"/>
      <c r="AC28" s="399"/>
      <c r="AD28" s="399">
        <f>SUM(AD29:AD44)-AD32</f>
        <v>0</v>
      </c>
      <c r="AE28" s="399">
        <f>SUM(AE29:AE44)-AE33</f>
        <v>0</v>
      </c>
      <c r="AF28" s="399">
        <f>SUM(AF29:AF44)-AF34</f>
        <v>0</v>
      </c>
      <c r="AG28" s="399">
        <f>SUM(AG29:AG44)-AG35</f>
        <v>0</v>
      </c>
      <c r="AH28" s="399">
        <f>SUM(AH29:AH44)-AH36</f>
        <v>0</v>
      </c>
      <c r="AI28" s="399">
        <f>SUM(AI29:AI44)-AI37</f>
        <v>0</v>
      </c>
      <c r="AJ28" s="399">
        <f>SUM(AJ29:AJ44)-AJ38</f>
        <v>0</v>
      </c>
      <c r="AK28" s="399">
        <f>SUM(AK29:AK44)-AK39</f>
        <v>0</v>
      </c>
      <c r="AL28" s="399">
        <f>SUM(AL29:AL44)-AL40</f>
        <v>0</v>
      </c>
      <c r="AM28" s="399">
        <f>SUM(AM29:AM44)-AM41</f>
        <v>0</v>
      </c>
      <c r="AN28" s="399">
        <f>SUM(AN29:AN44)-AN42</f>
        <v>0</v>
      </c>
      <c r="AO28" s="399">
        <f>SUM(AO29:AO44)-AO43</f>
        <v>0</v>
      </c>
      <c r="AP28" s="399">
        <f>SUM(AP29:AP44)-AP44</f>
        <v>0</v>
      </c>
      <c r="AQ28" s="399">
        <f t="shared" ref="AQ28:BC28" si="2">SUM(AQ29:AQ44)</f>
        <v>0</v>
      </c>
      <c r="AR28" s="399">
        <f t="shared" si="2"/>
        <v>0</v>
      </c>
      <c r="AS28" s="399">
        <f t="shared" si="2"/>
        <v>0</v>
      </c>
      <c r="AT28" s="399">
        <f t="shared" si="2"/>
        <v>0</v>
      </c>
      <c r="AU28" s="399">
        <f t="shared" si="2"/>
        <v>0</v>
      </c>
      <c r="AV28" s="399">
        <f t="shared" si="2"/>
        <v>0</v>
      </c>
      <c r="AW28" s="399">
        <f t="shared" si="2"/>
        <v>0</v>
      </c>
      <c r="AX28" s="399">
        <f t="shared" si="2"/>
        <v>0</v>
      </c>
      <c r="AY28" s="399">
        <f t="shared" si="2"/>
        <v>0</v>
      </c>
      <c r="AZ28" s="399">
        <f t="shared" si="2"/>
        <v>0</v>
      </c>
      <c r="BA28" s="399">
        <f t="shared" si="2"/>
        <v>0</v>
      </c>
      <c r="BB28" s="399">
        <f t="shared" si="2"/>
        <v>0</v>
      </c>
      <c r="BC28" s="399">
        <f t="shared" si="2"/>
        <v>0</v>
      </c>
      <c r="BD28" s="395">
        <f>F28+SUM(H28:L28)+SUM(N28:Y28)+SUM(AA28:BC28)</f>
        <v>0</v>
      </c>
      <c r="BE28" s="386">
        <f>'B6'!H29</f>
        <v>6385.2900000000009</v>
      </c>
      <c r="BG28" s="439"/>
    </row>
    <row r="29" spans="1:59">
      <c r="A29" s="438"/>
      <c r="B29" s="310" t="s">
        <v>228</v>
      </c>
      <c r="C29" s="438" t="s">
        <v>196</v>
      </c>
      <c r="D29" s="386">
        <f>'B1'!D32</f>
        <v>1160.3399999999999</v>
      </c>
      <c r="E29" s="388"/>
      <c r="F29" s="388"/>
      <c r="G29" s="395"/>
      <c r="H29" s="388"/>
      <c r="I29" s="388"/>
      <c r="J29" s="388"/>
      <c r="K29" s="388"/>
      <c r="L29" s="388"/>
      <c r="M29" s="395"/>
      <c r="N29" s="388"/>
      <c r="O29" s="388"/>
      <c r="P29" s="388"/>
      <c r="Q29" s="388"/>
      <c r="R29" s="388"/>
      <c r="S29" s="388"/>
      <c r="T29" s="388"/>
      <c r="U29" s="388"/>
      <c r="V29" s="388"/>
      <c r="W29" s="388"/>
      <c r="X29" s="388"/>
      <c r="Y29" s="388"/>
      <c r="Z29" s="395">
        <f>SUM(AA29:AP29)-AA29</f>
        <v>0</v>
      </c>
      <c r="AA29" s="387">
        <f>D29-BD29</f>
        <v>1160.3399999999999</v>
      </c>
      <c r="AB29" s="388"/>
      <c r="AC29" s="388"/>
      <c r="AD29" s="388"/>
      <c r="AE29" s="388"/>
      <c r="AF29" s="388"/>
      <c r="AG29" s="388"/>
      <c r="AH29" s="388"/>
      <c r="AI29" s="388"/>
      <c r="AJ29" s="388"/>
      <c r="AK29" s="388"/>
      <c r="AL29" s="388"/>
      <c r="AM29" s="388"/>
      <c r="AN29" s="388"/>
      <c r="AO29" s="388"/>
      <c r="AP29" s="388"/>
      <c r="AQ29" s="388"/>
      <c r="AR29" s="388"/>
      <c r="AS29" s="388"/>
      <c r="AT29" s="388"/>
      <c r="AU29" s="388"/>
      <c r="AV29" s="388"/>
      <c r="AW29" s="388"/>
      <c r="AX29" s="388"/>
      <c r="AY29" s="388"/>
      <c r="AZ29" s="388"/>
      <c r="BA29" s="388"/>
      <c r="BB29" s="388"/>
      <c r="BC29" s="388"/>
      <c r="BD29" s="395">
        <f>F29+SUM(H29:L29)+SUM(N29:Y29)+SUM(AB29:BC29)</f>
        <v>0</v>
      </c>
      <c r="BE29" s="386">
        <f>'B6'!H30</f>
        <v>1319.0300000000002</v>
      </c>
      <c r="BG29" s="439"/>
    </row>
    <row r="30" spans="1:59">
      <c r="A30" s="438"/>
      <c r="B30" s="310" t="s">
        <v>229</v>
      </c>
      <c r="C30" s="438" t="s">
        <v>194</v>
      </c>
      <c r="D30" s="386">
        <f>'B1'!D33</f>
        <v>92.570000000000007</v>
      </c>
      <c r="E30" s="388"/>
      <c r="F30" s="388"/>
      <c r="G30" s="395"/>
      <c r="H30" s="388"/>
      <c r="I30" s="388"/>
      <c r="J30" s="388"/>
      <c r="K30" s="388"/>
      <c r="L30" s="388"/>
      <c r="M30" s="395"/>
      <c r="N30" s="388"/>
      <c r="O30" s="388"/>
      <c r="P30" s="388"/>
      <c r="Q30" s="388"/>
      <c r="R30" s="388"/>
      <c r="S30" s="388"/>
      <c r="T30" s="388"/>
      <c r="U30" s="388"/>
      <c r="V30" s="388"/>
      <c r="W30" s="388"/>
      <c r="X30" s="388"/>
      <c r="Y30" s="388"/>
      <c r="Z30" s="395">
        <f>SUM(AA30:AP30)-AB30</f>
        <v>0</v>
      </c>
      <c r="AA30" s="388"/>
      <c r="AB30" s="387">
        <f>D30-BD30</f>
        <v>92.570000000000007</v>
      </c>
      <c r="AC30" s="388"/>
      <c r="AD30" s="388"/>
      <c r="AE30" s="388"/>
      <c r="AF30" s="388"/>
      <c r="AG30" s="388"/>
      <c r="AH30" s="388"/>
      <c r="AI30" s="388"/>
      <c r="AJ30" s="388"/>
      <c r="AK30" s="388"/>
      <c r="AL30" s="388"/>
      <c r="AM30" s="388"/>
      <c r="AN30" s="388"/>
      <c r="AO30" s="388"/>
      <c r="AP30" s="388"/>
      <c r="AQ30" s="388"/>
      <c r="AR30" s="388"/>
      <c r="AS30" s="388"/>
      <c r="AT30" s="388"/>
      <c r="AU30" s="388"/>
      <c r="AV30" s="388"/>
      <c r="AW30" s="388"/>
      <c r="AX30" s="388"/>
      <c r="AY30" s="388"/>
      <c r="AZ30" s="388"/>
      <c r="BA30" s="388"/>
      <c r="BB30" s="388"/>
      <c r="BC30" s="388"/>
      <c r="BD30" s="395">
        <f>F30+SUM(H30:L30)+SUM(N30:Y30)+AA30+SUM(AC30:BC30)</f>
        <v>0</v>
      </c>
      <c r="BE30" s="386">
        <f>'B6'!H31</f>
        <v>162.96999999999997</v>
      </c>
      <c r="BG30" s="439"/>
    </row>
    <row r="31" spans="1:59">
      <c r="A31" s="438"/>
      <c r="B31" s="310" t="s">
        <v>222</v>
      </c>
      <c r="C31" s="438" t="s">
        <v>232</v>
      </c>
      <c r="D31" s="386">
        <f>'B1'!D34</f>
        <v>6.18</v>
      </c>
      <c r="E31" s="388"/>
      <c r="F31" s="388"/>
      <c r="G31" s="395"/>
      <c r="H31" s="388"/>
      <c r="I31" s="388"/>
      <c r="J31" s="388"/>
      <c r="K31" s="388"/>
      <c r="L31" s="388"/>
      <c r="M31" s="395"/>
      <c r="N31" s="388"/>
      <c r="O31" s="388"/>
      <c r="P31" s="388"/>
      <c r="Q31" s="388"/>
      <c r="R31" s="388"/>
      <c r="S31" s="388"/>
      <c r="T31" s="388"/>
      <c r="U31" s="388"/>
      <c r="V31" s="388"/>
      <c r="W31" s="388"/>
      <c r="X31" s="388"/>
      <c r="Y31" s="388"/>
      <c r="Z31" s="395">
        <f>SUM(AA31:AP31)-AC31</f>
        <v>0</v>
      </c>
      <c r="AA31" s="388"/>
      <c r="AB31" s="388"/>
      <c r="AC31" s="387">
        <f>D31-BD31</f>
        <v>6.18</v>
      </c>
      <c r="AD31" s="388"/>
      <c r="AE31" s="388"/>
      <c r="AF31" s="388"/>
      <c r="AG31" s="388"/>
      <c r="AH31" s="388"/>
      <c r="AI31" s="388"/>
      <c r="AJ31" s="388"/>
      <c r="AK31" s="388"/>
      <c r="AL31" s="388"/>
      <c r="AM31" s="388"/>
      <c r="AN31" s="388"/>
      <c r="AO31" s="388"/>
      <c r="AP31" s="388"/>
      <c r="AQ31" s="388"/>
      <c r="AR31" s="388"/>
      <c r="AS31" s="388"/>
      <c r="AT31" s="388"/>
      <c r="AU31" s="388"/>
      <c r="AV31" s="388"/>
      <c r="AW31" s="388"/>
      <c r="AX31" s="388"/>
      <c r="AY31" s="388"/>
      <c r="AZ31" s="388"/>
      <c r="BA31" s="388"/>
      <c r="BB31" s="388"/>
      <c r="BC31" s="388"/>
      <c r="BD31" s="395">
        <f>F31+SUM(H31:L31)+SUM(N31:Y31)+SUM(AA31:AB31)+SUM(AD31:BC31)</f>
        <v>0</v>
      </c>
      <c r="BE31" s="386">
        <f>'B6'!H32</f>
        <v>6.2299999999999995</v>
      </c>
      <c r="BG31" s="439"/>
    </row>
    <row r="32" spans="1:59">
      <c r="A32" s="438"/>
      <c r="B32" s="310" t="s">
        <v>223</v>
      </c>
      <c r="C32" s="438" t="s">
        <v>233</v>
      </c>
      <c r="D32" s="386">
        <f>'B1'!D35</f>
        <v>4.96</v>
      </c>
      <c r="E32" s="388"/>
      <c r="F32" s="388"/>
      <c r="G32" s="395"/>
      <c r="H32" s="388"/>
      <c r="I32" s="388"/>
      <c r="J32" s="388"/>
      <c r="K32" s="388"/>
      <c r="L32" s="388"/>
      <c r="M32" s="395"/>
      <c r="N32" s="388"/>
      <c r="O32" s="388"/>
      <c r="P32" s="388"/>
      <c r="Q32" s="388"/>
      <c r="R32" s="388"/>
      <c r="S32" s="388"/>
      <c r="T32" s="388"/>
      <c r="U32" s="388"/>
      <c r="V32" s="388"/>
      <c r="W32" s="388"/>
      <c r="X32" s="388"/>
      <c r="Y32" s="388"/>
      <c r="Z32" s="395">
        <f>SUM(AA32:AP32)-AD32</f>
        <v>0</v>
      </c>
      <c r="AA32" s="388"/>
      <c r="AB32" s="388"/>
      <c r="AC32" s="388"/>
      <c r="AD32" s="387">
        <f>D32-BD32</f>
        <v>4.96</v>
      </c>
      <c r="AE32" s="388"/>
      <c r="AF32" s="388"/>
      <c r="AG32" s="388"/>
      <c r="AH32" s="388"/>
      <c r="AI32" s="388"/>
      <c r="AJ32" s="388"/>
      <c r="AK32" s="388"/>
      <c r="AL32" s="388"/>
      <c r="AM32" s="388"/>
      <c r="AN32" s="388"/>
      <c r="AO32" s="388"/>
      <c r="AP32" s="388"/>
      <c r="AQ32" s="388"/>
      <c r="AR32" s="388"/>
      <c r="AS32" s="388"/>
      <c r="AT32" s="388"/>
      <c r="AU32" s="388"/>
      <c r="AV32" s="388"/>
      <c r="AW32" s="388"/>
      <c r="AX32" s="388"/>
      <c r="AY32" s="388"/>
      <c r="AZ32" s="388"/>
      <c r="BA32" s="388"/>
      <c r="BB32" s="388"/>
      <c r="BC32" s="388"/>
      <c r="BD32" s="395">
        <f>F32+SUM(H32:L32)+SUM(N32:Y32)+SUM(AA32:AC32)+SUM(AE32:BC32)</f>
        <v>0</v>
      </c>
      <c r="BE32" s="386">
        <f>'B6'!H33</f>
        <v>4.96</v>
      </c>
      <c r="BG32" s="439"/>
    </row>
    <row r="33" spans="1:59">
      <c r="A33" s="438"/>
      <c r="B33" s="310" t="s">
        <v>224</v>
      </c>
      <c r="C33" s="438" t="s">
        <v>192</v>
      </c>
      <c r="D33" s="386">
        <f>'B1'!D36</f>
        <v>61.53</v>
      </c>
      <c r="E33" s="388"/>
      <c r="F33" s="388"/>
      <c r="G33" s="395"/>
      <c r="H33" s="388"/>
      <c r="I33" s="388"/>
      <c r="J33" s="388"/>
      <c r="K33" s="388"/>
      <c r="L33" s="388"/>
      <c r="M33" s="395"/>
      <c r="N33" s="388"/>
      <c r="O33" s="388"/>
      <c r="P33" s="388"/>
      <c r="Q33" s="388"/>
      <c r="R33" s="388"/>
      <c r="S33" s="388">
        <v>0.06</v>
      </c>
      <c r="T33" s="388"/>
      <c r="U33" s="388"/>
      <c r="V33" s="388"/>
      <c r="W33" s="388"/>
      <c r="X33" s="388"/>
      <c r="Y33" s="388"/>
      <c r="Z33" s="395">
        <f>SUM(AA33:AP33)-AE33</f>
        <v>0</v>
      </c>
      <c r="AA33" s="388"/>
      <c r="AB33" s="388"/>
      <c r="AC33" s="388"/>
      <c r="AD33" s="388"/>
      <c r="AE33" s="387">
        <f>D33-BD33</f>
        <v>61.47</v>
      </c>
      <c r="AF33" s="388"/>
      <c r="AG33" s="388"/>
      <c r="AH33" s="388"/>
      <c r="AI33" s="388"/>
      <c r="AJ33" s="388"/>
      <c r="AK33" s="388"/>
      <c r="AL33" s="388"/>
      <c r="AM33" s="388"/>
      <c r="AN33" s="388"/>
      <c r="AO33" s="388"/>
      <c r="AP33" s="388"/>
      <c r="AQ33" s="388"/>
      <c r="AR33" s="388"/>
      <c r="AS33" s="388"/>
      <c r="AT33" s="388"/>
      <c r="AU33" s="388"/>
      <c r="AV33" s="388"/>
      <c r="AW33" s="388"/>
      <c r="AX33" s="388"/>
      <c r="AY33" s="388"/>
      <c r="AZ33" s="388"/>
      <c r="BA33" s="388"/>
      <c r="BB33" s="388"/>
      <c r="BC33" s="388"/>
      <c r="BD33" s="395">
        <f>F33+SUM(H33:L33)+SUM(N33:Y33)+SUM(AA33:AD33)+SUM(AF33:BC33)</f>
        <v>0.06</v>
      </c>
      <c r="BE33" s="386">
        <f>'B6'!H34</f>
        <v>62.94</v>
      </c>
      <c r="BG33" s="439"/>
    </row>
    <row r="34" spans="1:59">
      <c r="A34" s="438"/>
      <c r="B34" s="310" t="s">
        <v>225</v>
      </c>
      <c r="C34" s="438" t="s">
        <v>195</v>
      </c>
      <c r="D34" s="386">
        <f>'B1'!D37</f>
        <v>16.670000000000002</v>
      </c>
      <c r="E34" s="388"/>
      <c r="F34" s="388"/>
      <c r="G34" s="395"/>
      <c r="H34" s="388"/>
      <c r="I34" s="388"/>
      <c r="J34" s="388"/>
      <c r="K34" s="388"/>
      <c r="L34" s="388"/>
      <c r="M34" s="395"/>
      <c r="N34" s="388"/>
      <c r="O34" s="388"/>
      <c r="P34" s="388"/>
      <c r="Q34" s="388"/>
      <c r="R34" s="388"/>
      <c r="S34" s="388"/>
      <c r="T34" s="388"/>
      <c r="U34" s="388"/>
      <c r="V34" s="388"/>
      <c r="W34" s="388"/>
      <c r="X34" s="388"/>
      <c r="Y34" s="388"/>
      <c r="Z34" s="395">
        <f>SUM(AA34:AP34)-AF34</f>
        <v>0</v>
      </c>
      <c r="AA34" s="388"/>
      <c r="AB34" s="388"/>
      <c r="AC34" s="388"/>
      <c r="AD34" s="388"/>
      <c r="AE34" s="388"/>
      <c r="AF34" s="387">
        <f>D34-BD34</f>
        <v>16.670000000000002</v>
      </c>
      <c r="AG34" s="388"/>
      <c r="AH34" s="388"/>
      <c r="AI34" s="388"/>
      <c r="AJ34" s="388"/>
      <c r="AK34" s="388"/>
      <c r="AL34" s="388"/>
      <c r="AM34" s="388"/>
      <c r="AN34" s="388"/>
      <c r="AO34" s="388"/>
      <c r="AP34" s="388"/>
      <c r="AQ34" s="388"/>
      <c r="AR34" s="388"/>
      <c r="AS34" s="388"/>
      <c r="AT34" s="388"/>
      <c r="AU34" s="388"/>
      <c r="AV34" s="388"/>
      <c r="AW34" s="388"/>
      <c r="AX34" s="388"/>
      <c r="AY34" s="388"/>
      <c r="AZ34" s="388"/>
      <c r="BA34" s="388"/>
      <c r="BB34" s="388"/>
      <c r="BC34" s="388"/>
      <c r="BD34" s="395">
        <f>F34+SUM(H34:L34)+SUM(N34:Y34)+SUM(AA34:AE34)+SUM(AG34:BC34)</f>
        <v>0</v>
      </c>
      <c r="BE34" s="386">
        <f>'B6'!H35</f>
        <v>16.690000000000001</v>
      </c>
      <c r="BG34" s="439"/>
    </row>
    <row r="35" spans="1:59">
      <c r="A35" s="438"/>
      <c r="B35" s="310" t="s">
        <v>282</v>
      </c>
      <c r="C35" s="438" t="s">
        <v>193</v>
      </c>
      <c r="D35" s="386">
        <f>'B1'!D38</f>
        <v>4617.17</v>
      </c>
      <c r="E35" s="388"/>
      <c r="F35" s="388"/>
      <c r="G35" s="395"/>
      <c r="H35" s="388"/>
      <c r="I35" s="388"/>
      <c r="J35" s="388"/>
      <c r="K35" s="388"/>
      <c r="L35" s="388"/>
      <c r="M35" s="395"/>
      <c r="N35" s="388"/>
      <c r="O35" s="388"/>
      <c r="P35" s="388"/>
      <c r="Q35" s="388"/>
      <c r="R35" s="388"/>
      <c r="S35" s="388"/>
      <c r="T35" s="388"/>
      <c r="U35" s="388"/>
      <c r="V35" s="388"/>
      <c r="W35" s="388"/>
      <c r="X35" s="388"/>
      <c r="Y35" s="388"/>
      <c r="Z35" s="395">
        <f>SUM(AA35:AP35)-AG35</f>
        <v>0</v>
      </c>
      <c r="AA35" s="388"/>
      <c r="AB35" s="388"/>
      <c r="AC35" s="388"/>
      <c r="AD35" s="388"/>
      <c r="AE35" s="388"/>
      <c r="AF35" s="388"/>
      <c r="AG35" s="387">
        <f>D35-BD35</f>
        <v>4617.17</v>
      </c>
      <c r="AH35" s="388"/>
      <c r="AI35" s="388"/>
      <c r="AJ35" s="388"/>
      <c r="AK35" s="388"/>
      <c r="AL35" s="388"/>
      <c r="AM35" s="388"/>
      <c r="AN35" s="388"/>
      <c r="AO35" s="388"/>
      <c r="AP35" s="388"/>
      <c r="AQ35" s="388"/>
      <c r="AR35" s="388"/>
      <c r="AS35" s="388"/>
      <c r="AT35" s="388"/>
      <c r="AU35" s="388"/>
      <c r="AV35" s="388"/>
      <c r="AW35" s="388"/>
      <c r="AX35" s="388"/>
      <c r="AY35" s="388"/>
      <c r="AZ35" s="388"/>
      <c r="BA35" s="388"/>
      <c r="BB35" s="388"/>
      <c r="BC35" s="388"/>
      <c r="BD35" s="395">
        <f>F35+SUM(H35:L35)+SUM(N35:Y35)+SUM(AA35:AF35)+SUM(AH35:BC35)</f>
        <v>0</v>
      </c>
      <c r="BE35" s="386">
        <f>'B6'!H36</f>
        <v>4656.55</v>
      </c>
      <c r="BG35" s="439"/>
    </row>
    <row r="36" spans="1:59">
      <c r="A36" s="438"/>
      <c r="B36" s="310" t="s">
        <v>230</v>
      </c>
      <c r="C36" s="438" t="s">
        <v>236</v>
      </c>
      <c r="D36" s="386">
        <f>'B1'!D39</f>
        <v>1.02</v>
      </c>
      <c r="E36" s="388"/>
      <c r="F36" s="388"/>
      <c r="G36" s="395"/>
      <c r="H36" s="388"/>
      <c r="I36" s="388"/>
      <c r="J36" s="388"/>
      <c r="K36" s="388"/>
      <c r="L36" s="388"/>
      <c r="M36" s="395"/>
      <c r="N36" s="388"/>
      <c r="O36" s="388"/>
      <c r="P36" s="388"/>
      <c r="Q36" s="388"/>
      <c r="R36" s="388"/>
      <c r="S36" s="388"/>
      <c r="T36" s="388"/>
      <c r="U36" s="388"/>
      <c r="V36" s="388"/>
      <c r="W36" s="388"/>
      <c r="X36" s="388"/>
      <c r="Y36" s="388"/>
      <c r="Z36" s="395">
        <f>SUM(AA36:AP36)-AH36</f>
        <v>0</v>
      </c>
      <c r="AA36" s="388"/>
      <c r="AB36" s="388"/>
      <c r="AC36" s="388"/>
      <c r="AD36" s="388"/>
      <c r="AE36" s="388"/>
      <c r="AF36" s="388"/>
      <c r="AG36" s="388"/>
      <c r="AH36" s="387">
        <f>D36-BD36</f>
        <v>1.02</v>
      </c>
      <c r="AI36" s="388"/>
      <c r="AJ36" s="388"/>
      <c r="AK36" s="388"/>
      <c r="AL36" s="388"/>
      <c r="AM36" s="388"/>
      <c r="AN36" s="388"/>
      <c r="AO36" s="388"/>
      <c r="AP36" s="388"/>
      <c r="AQ36" s="388"/>
      <c r="AR36" s="388"/>
      <c r="AS36" s="388"/>
      <c r="AT36" s="388"/>
      <c r="AU36" s="388"/>
      <c r="AV36" s="388"/>
      <c r="AW36" s="388"/>
      <c r="AX36" s="388"/>
      <c r="AY36" s="388"/>
      <c r="AZ36" s="388"/>
      <c r="BA36" s="388"/>
      <c r="BB36" s="388"/>
      <c r="BC36" s="388"/>
      <c r="BD36" s="395">
        <f>F36+SUM(H36:L36)+SUM(N36:Y36)+SUM(AA36:AG36)+SUM(AI36:BC36)</f>
        <v>0</v>
      </c>
      <c r="BE36" s="386">
        <f>'B6'!H37</f>
        <v>1.02</v>
      </c>
      <c r="BG36" s="439"/>
    </row>
    <row r="37" spans="1:59">
      <c r="A37" s="438"/>
      <c r="B37" s="310" t="s">
        <v>278</v>
      </c>
      <c r="C37" s="438" t="s">
        <v>279</v>
      </c>
      <c r="D37" s="386">
        <f>'B1'!D40</f>
        <v>0</v>
      </c>
      <c r="E37" s="388"/>
      <c r="F37" s="388"/>
      <c r="G37" s="395"/>
      <c r="H37" s="388"/>
      <c r="I37" s="388"/>
      <c r="J37" s="388"/>
      <c r="K37" s="388"/>
      <c r="L37" s="388"/>
      <c r="M37" s="395"/>
      <c r="N37" s="388"/>
      <c r="O37" s="388"/>
      <c r="P37" s="388"/>
      <c r="Q37" s="388"/>
      <c r="R37" s="388"/>
      <c r="S37" s="388"/>
      <c r="T37" s="388"/>
      <c r="U37" s="388"/>
      <c r="V37" s="388"/>
      <c r="W37" s="388"/>
      <c r="X37" s="388"/>
      <c r="Y37" s="388"/>
      <c r="Z37" s="395">
        <f>SUM(AA37:AP37)-AI37</f>
        <v>0</v>
      </c>
      <c r="AA37" s="388"/>
      <c r="AB37" s="388"/>
      <c r="AC37" s="388"/>
      <c r="AD37" s="388"/>
      <c r="AE37" s="388"/>
      <c r="AF37" s="388"/>
      <c r="AG37" s="388"/>
      <c r="AH37" s="388"/>
      <c r="AI37" s="387">
        <f>D37-BD37</f>
        <v>0</v>
      </c>
      <c r="AJ37" s="388"/>
      <c r="AK37" s="388"/>
      <c r="AL37" s="388"/>
      <c r="AM37" s="388"/>
      <c r="AN37" s="388"/>
      <c r="AO37" s="388"/>
      <c r="AP37" s="388"/>
      <c r="AQ37" s="388"/>
      <c r="AR37" s="388"/>
      <c r="AS37" s="388"/>
      <c r="AT37" s="388"/>
      <c r="AU37" s="388"/>
      <c r="AV37" s="388"/>
      <c r="AW37" s="388"/>
      <c r="AX37" s="388"/>
      <c r="AY37" s="388"/>
      <c r="AZ37" s="388"/>
      <c r="BA37" s="388"/>
      <c r="BB37" s="388"/>
      <c r="BC37" s="388"/>
      <c r="BD37" s="395"/>
      <c r="BE37" s="386">
        <f>'B6'!H38</f>
        <v>0</v>
      </c>
      <c r="BG37" s="439"/>
    </row>
    <row r="38" spans="1:59">
      <c r="A38" s="438"/>
      <c r="B38" s="310" t="s">
        <v>46</v>
      </c>
      <c r="C38" s="438" t="s">
        <v>47</v>
      </c>
      <c r="D38" s="386">
        <f>'B1'!D41</f>
        <v>3.86</v>
      </c>
      <c r="E38" s="388"/>
      <c r="F38" s="388"/>
      <c r="G38" s="395"/>
      <c r="H38" s="388"/>
      <c r="I38" s="388"/>
      <c r="J38" s="388"/>
      <c r="K38" s="388"/>
      <c r="L38" s="388"/>
      <c r="M38" s="395"/>
      <c r="N38" s="388"/>
      <c r="O38" s="388"/>
      <c r="P38" s="388"/>
      <c r="Q38" s="388"/>
      <c r="R38" s="388"/>
      <c r="S38" s="388"/>
      <c r="T38" s="388"/>
      <c r="U38" s="388"/>
      <c r="V38" s="388"/>
      <c r="W38" s="388"/>
      <c r="X38" s="388"/>
      <c r="Y38" s="388"/>
      <c r="Z38" s="395">
        <f>SUM(AA38:AP38)-AJ38</f>
        <v>0</v>
      </c>
      <c r="AA38" s="388"/>
      <c r="AB38" s="388"/>
      <c r="AC38" s="388"/>
      <c r="AD38" s="388"/>
      <c r="AE38" s="388"/>
      <c r="AF38" s="388"/>
      <c r="AG38" s="388"/>
      <c r="AH38" s="388"/>
      <c r="AI38" s="388"/>
      <c r="AJ38" s="387">
        <f>D38-BD38</f>
        <v>3.86</v>
      </c>
      <c r="AK38" s="388"/>
      <c r="AL38" s="388"/>
      <c r="AM38" s="388"/>
      <c r="AN38" s="388"/>
      <c r="AO38" s="388"/>
      <c r="AP38" s="388"/>
      <c r="AQ38" s="388"/>
      <c r="AR38" s="388"/>
      <c r="AS38" s="388"/>
      <c r="AT38" s="388"/>
      <c r="AU38" s="388"/>
      <c r="AV38" s="388"/>
      <c r="AW38" s="388"/>
      <c r="AX38" s="388"/>
      <c r="AY38" s="388"/>
      <c r="AZ38" s="388"/>
      <c r="BA38" s="388"/>
      <c r="BB38" s="388"/>
      <c r="BC38" s="388"/>
      <c r="BD38" s="395">
        <f>F38+SUM(H38:L38)+SUM(N38:Y38)+SUM(AA38:AI38)+SUM(AK38:BC38)</f>
        <v>0</v>
      </c>
      <c r="BE38" s="386">
        <f>'B6'!H39</f>
        <v>3.86</v>
      </c>
      <c r="BG38" s="439"/>
    </row>
    <row r="39" spans="1:59">
      <c r="A39" s="438"/>
      <c r="B39" s="310" t="s">
        <v>50</v>
      </c>
      <c r="C39" s="438" t="s">
        <v>51</v>
      </c>
      <c r="D39" s="386">
        <f>'B1'!D42</f>
        <v>2.65</v>
      </c>
      <c r="E39" s="388"/>
      <c r="F39" s="388"/>
      <c r="G39" s="395"/>
      <c r="H39" s="388"/>
      <c r="I39" s="388"/>
      <c r="J39" s="388"/>
      <c r="K39" s="388"/>
      <c r="L39" s="388"/>
      <c r="M39" s="395"/>
      <c r="N39" s="388"/>
      <c r="O39" s="388"/>
      <c r="P39" s="388"/>
      <c r="Q39" s="388"/>
      <c r="R39" s="388"/>
      <c r="S39" s="388"/>
      <c r="T39" s="388"/>
      <c r="U39" s="388"/>
      <c r="V39" s="388"/>
      <c r="W39" s="388"/>
      <c r="X39" s="388"/>
      <c r="Y39" s="388"/>
      <c r="Z39" s="395">
        <f>SUM(AA39:AP39)-AK39</f>
        <v>0</v>
      </c>
      <c r="AA39" s="388"/>
      <c r="AB39" s="388"/>
      <c r="AC39" s="388"/>
      <c r="AD39" s="388"/>
      <c r="AE39" s="388"/>
      <c r="AF39" s="388"/>
      <c r="AG39" s="388"/>
      <c r="AH39" s="388"/>
      <c r="AI39" s="388"/>
      <c r="AJ39" s="388"/>
      <c r="AK39" s="387">
        <f>D39-BD39</f>
        <v>2.65</v>
      </c>
      <c r="AL39" s="388"/>
      <c r="AM39" s="388"/>
      <c r="AN39" s="388"/>
      <c r="AO39" s="388"/>
      <c r="AP39" s="388"/>
      <c r="AQ39" s="388"/>
      <c r="AR39" s="388"/>
      <c r="AS39" s="388"/>
      <c r="AT39" s="388"/>
      <c r="AU39" s="388"/>
      <c r="AV39" s="388"/>
      <c r="AW39" s="388"/>
      <c r="AX39" s="388"/>
      <c r="AY39" s="388"/>
      <c r="AZ39" s="388"/>
      <c r="BA39" s="388"/>
      <c r="BB39" s="388"/>
      <c r="BC39" s="388"/>
      <c r="BD39" s="395">
        <f>F39+SUM(H39:L39)+SUM(N39:Y39)+SUM(AA39:AJ39)+SUM(AL39:BC39)</f>
        <v>0</v>
      </c>
      <c r="BE39" s="386">
        <f>'B6'!H40</f>
        <v>21.15</v>
      </c>
      <c r="BG39" s="439"/>
    </row>
    <row r="40" spans="1:59">
      <c r="A40" s="438"/>
      <c r="B40" s="310" t="s">
        <v>62</v>
      </c>
      <c r="C40" s="438" t="s">
        <v>63</v>
      </c>
      <c r="D40" s="386">
        <f>'B1'!D43</f>
        <v>5.8500000000000005</v>
      </c>
      <c r="E40" s="388"/>
      <c r="F40" s="388"/>
      <c r="G40" s="395"/>
      <c r="H40" s="388"/>
      <c r="I40" s="388"/>
      <c r="J40" s="388"/>
      <c r="K40" s="388"/>
      <c r="L40" s="388"/>
      <c r="M40" s="395"/>
      <c r="N40" s="388"/>
      <c r="O40" s="388"/>
      <c r="P40" s="388"/>
      <c r="Q40" s="388"/>
      <c r="R40" s="388"/>
      <c r="S40" s="388"/>
      <c r="T40" s="388"/>
      <c r="U40" s="388"/>
      <c r="V40" s="388"/>
      <c r="W40" s="388"/>
      <c r="X40" s="388"/>
      <c r="Y40" s="388"/>
      <c r="Z40" s="395">
        <f>SUM(AA40:AP40)-AL40</f>
        <v>0</v>
      </c>
      <c r="AA40" s="388"/>
      <c r="AB40" s="388"/>
      <c r="AC40" s="388"/>
      <c r="AD40" s="388"/>
      <c r="AE40" s="388"/>
      <c r="AF40" s="388"/>
      <c r="AG40" s="388"/>
      <c r="AH40" s="388"/>
      <c r="AI40" s="388"/>
      <c r="AJ40" s="388"/>
      <c r="AK40" s="388"/>
      <c r="AL40" s="387">
        <f>D40-BD40</f>
        <v>5.8500000000000005</v>
      </c>
      <c r="AM40" s="388"/>
      <c r="AN40" s="388"/>
      <c r="AO40" s="388"/>
      <c r="AP40" s="388"/>
      <c r="AQ40" s="388"/>
      <c r="AR40" s="388"/>
      <c r="AS40" s="388"/>
      <c r="AT40" s="388"/>
      <c r="AU40" s="388"/>
      <c r="AV40" s="388"/>
      <c r="AW40" s="388"/>
      <c r="AX40" s="388"/>
      <c r="AY40" s="388"/>
      <c r="AZ40" s="388"/>
      <c r="BA40" s="388"/>
      <c r="BB40" s="388"/>
      <c r="BC40" s="388"/>
      <c r="BD40" s="395">
        <f>F40+SUM(H40:L40)+SUM(N40:Y40)+SUM(AA40:AK40)+SUM(AM40:BC40)</f>
        <v>0</v>
      </c>
      <c r="BE40" s="386">
        <f>'B6'!H41</f>
        <v>5.8500000000000005</v>
      </c>
      <c r="BG40" s="439"/>
    </row>
    <row r="41" spans="1:59">
      <c r="A41" s="438"/>
      <c r="B41" s="310" t="s">
        <v>280</v>
      </c>
      <c r="C41" s="438" t="s">
        <v>64</v>
      </c>
      <c r="D41" s="386">
        <f>'B1'!D44</f>
        <v>116.25</v>
      </c>
      <c r="E41" s="388"/>
      <c r="F41" s="388"/>
      <c r="G41" s="395"/>
      <c r="H41" s="388"/>
      <c r="I41" s="388"/>
      <c r="J41" s="388"/>
      <c r="K41" s="388"/>
      <c r="L41" s="388"/>
      <c r="M41" s="395"/>
      <c r="N41" s="388"/>
      <c r="O41" s="388"/>
      <c r="P41" s="388"/>
      <c r="Q41" s="388"/>
      <c r="R41" s="388"/>
      <c r="S41" s="388"/>
      <c r="T41" s="388"/>
      <c r="U41" s="388"/>
      <c r="V41" s="388"/>
      <c r="W41" s="388"/>
      <c r="X41" s="388"/>
      <c r="Y41" s="388"/>
      <c r="Z41" s="395">
        <f>SUM(AA41:AP41)-AM41</f>
        <v>0</v>
      </c>
      <c r="AA41" s="388"/>
      <c r="AB41" s="388"/>
      <c r="AC41" s="388"/>
      <c r="AD41" s="388"/>
      <c r="AE41" s="388"/>
      <c r="AF41" s="388"/>
      <c r="AG41" s="388"/>
      <c r="AH41" s="388"/>
      <c r="AI41" s="388"/>
      <c r="AJ41" s="388"/>
      <c r="AK41" s="388"/>
      <c r="AL41" s="388"/>
      <c r="AM41" s="387">
        <f>D41-BD41</f>
        <v>116.25</v>
      </c>
      <c r="AN41" s="388"/>
      <c r="AO41" s="388"/>
      <c r="AP41" s="388"/>
      <c r="AQ41" s="388"/>
      <c r="AR41" s="388"/>
      <c r="AS41" s="388"/>
      <c r="AT41" s="388"/>
      <c r="AU41" s="388"/>
      <c r="AV41" s="388"/>
      <c r="AW41" s="388"/>
      <c r="AX41" s="388"/>
      <c r="AY41" s="388"/>
      <c r="AZ41" s="388"/>
      <c r="BA41" s="388"/>
      <c r="BB41" s="388"/>
      <c r="BC41" s="388"/>
      <c r="BD41" s="395">
        <f>F41+SUM(H41:L41)+SUM(N41:Y41)+SUM(AA41:AL41)+SUM(AN41:BC41)</f>
        <v>0</v>
      </c>
      <c r="BE41" s="386">
        <f>'B6'!H42</f>
        <v>120.85</v>
      </c>
      <c r="BG41" s="439"/>
    </row>
    <row r="42" spans="1:59">
      <c r="A42" s="438"/>
      <c r="B42" s="310" t="s">
        <v>226</v>
      </c>
      <c r="C42" s="438" t="s">
        <v>234</v>
      </c>
      <c r="D42" s="386">
        <f>'B1'!D45</f>
        <v>0</v>
      </c>
      <c r="E42" s="388"/>
      <c r="F42" s="388"/>
      <c r="G42" s="395"/>
      <c r="H42" s="388"/>
      <c r="I42" s="388"/>
      <c r="J42" s="388"/>
      <c r="K42" s="388"/>
      <c r="L42" s="388"/>
      <c r="M42" s="395"/>
      <c r="N42" s="388"/>
      <c r="O42" s="388"/>
      <c r="P42" s="388"/>
      <c r="Q42" s="388"/>
      <c r="R42" s="388"/>
      <c r="S42" s="388"/>
      <c r="T42" s="388"/>
      <c r="U42" s="388"/>
      <c r="V42" s="388"/>
      <c r="W42" s="388"/>
      <c r="X42" s="388"/>
      <c r="Y42" s="388"/>
      <c r="Z42" s="395">
        <f>SUM(AA42:AP42)-AN42</f>
        <v>0</v>
      </c>
      <c r="AA42" s="388"/>
      <c r="AB42" s="388"/>
      <c r="AC42" s="388"/>
      <c r="AD42" s="388"/>
      <c r="AE42" s="388"/>
      <c r="AF42" s="388"/>
      <c r="AG42" s="388"/>
      <c r="AH42" s="388"/>
      <c r="AI42" s="388"/>
      <c r="AJ42" s="388"/>
      <c r="AK42" s="388"/>
      <c r="AL42" s="388"/>
      <c r="AM42" s="388"/>
      <c r="AN42" s="387">
        <f>D42-BD42</f>
        <v>0</v>
      </c>
      <c r="AO42" s="388"/>
      <c r="AP42" s="388"/>
      <c r="AQ42" s="388"/>
      <c r="AR42" s="388"/>
      <c r="AS42" s="388"/>
      <c r="AT42" s="388"/>
      <c r="AU42" s="388"/>
      <c r="AV42" s="388"/>
      <c r="AW42" s="388"/>
      <c r="AX42" s="388"/>
      <c r="AY42" s="388"/>
      <c r="AZ42" s="388"/>
      <c r="BA42" s="388"/>
      <c r="BB42" s="388"/>
      <c r="BC42" s="388"/>
      <c r="BD42" s="395">
        <f>F42+SUM(H42:L42)+SUM(N42:Y42)+SUM(AA42:AM42)+SUM(AO42:BC42)</f>
        <v>0</v>
      </c>
      <c r="BE42" s="386">
        <f>'B6'!H43</f>
        <v>0</v>
      </c>
      <c r="BG42" s="439"/>
    </row>
    <row r="43" spans="1:59">
      <c r="A43" s="438"/>
      <c r="B43" s="310" t="s">
        <v>227</v>
      </c>
      <c r="C43" s="438" t="s">
        <v>235</v>
      </c>
      <c r="D43" s="386">
        <f>'B1'!D46</f>
        <v>0.66</v>
      </c>
      <c r="E43" s="388"/>
      <c r="F43" s="388"/>
      <c r="G43" s="395"/>
      <c r="H43" s="388"/>
      <c r="I43" s="388"/>
      <c r="J43" s="388"/>
      <c r="K43" s="388"/>
      <c r="L43" s="388"/>
      <c r="M43" s="395"/>
      <c r="N43" s="388"/>
      <c r="O43" s="388"/>
      <c r="P43" s="388"/>
      <c r="Q43" s="388"/>
      <c r="R43" s="388"/>
      <c r="S43" s="388"/>
      <c r="T43" s="388"/>
      <c r="U43" s="388"/>
      <c r="V43" s="388"/>
      <c r="W43" s="388"/>
      <c r="X43" s="388"/>
      <c r="Y43" s="388"/>
      <c r="Z43" s="395">
        <f>SUM(AA43:AP43)-AO43</f>
        <v>0</v>
      </c>
      <c r="AA43" s="388"/>
      <c r="AB43" s="388"/>
      <c r="AC43" s="388"/>
      <c r="AD43" s="388"/>
      <c r="AE43" s="388"/>
      <c r="AF43" s="388"/>
      <c r="AG43" s="388"/>
      <c r="AH43" s="388"/>
      <c r="AI43" s="388"/>
      <c r="AJ43" s="388"/>
      <c r="AK43" s="388"/>
      <c r="AL43" s="388"/>
      <c r="AM43" s="388"/>
      <c r="AN43" s="388"/>
      <c r="AO43" s="387">
        <f>D43-BD43</f>
        <v>0.66</v>
      </c>
      <c r="AP43" s="388"/>
      <c r="AQ43" s="388"/>
      <c r="AR43" s="388"/>
      <c r="AS43" s="388"/>
      <c r="AT43" s="388"/>
      <c r="AU43" s="388"/>
      <c r="AV43" s="388"/>
      <c r="AW43" s="388"/>
      <c r="AX43" s="388"/>
      <c r="AY43" s="388"/>
      <c r="AZ43" s="388"/>
      <c r="BA43" s="388"/>
      <c r="BB43" s="388"/>
      <c r="BC43" s="388"/>
      <c r="BD43" s="395">
        <f>F43+SUM(H43:L43)+SUM(N43:Y43)+SUM(AA43:AN43)+SUM(AP43:BC43)</f>
        <v>0</v>
      </c>
      <c r="BE43" s="386">
        <f>'B6'!H44</f>
        <v>0.66</v>
      </c>
      <c r="BG43" s="439"/>
    </row>
    <row r="44" spans="1:59">
      <c r="A44" s="438"/>
      <c r="B44" s="310" t="s">
        <v>231</v>
      </c>
      <c r="C44" s="438" t="s">
        <v>206</v>
      </c>
      <c r="D44" s="386">
        <f>'B1'!D47</f>
        <v>2.23</v>
      </c>
      <c r="E44" s="388"/>
      <c r="F44" s="388"/>
      <c r="G44" s="395"/>
      <c r="H44" s="388"/>
      <c r="I44" s="388"/>
      <c r="J44" s="388"/>
      <c r="K44" s="388"/>
      <c r="L44" s="388"/>
      <c r="M44" s="395"/>
      <c r="N44" s="388"/>
      <c r="O44" s="388"/>
      <c r="P44" s="388"/>
      <c r="Q44" s="388"/>
      <c r="R44" s="388"/>
      <c r="S44" s="388"/>
      <c r="T44" s="388"/>
      <c r="U44" s="388"/>
      <c r="V44" s="388"/>
      <c r="W44" s="388"/>
      <c r="X44" s="388"/>
      <c r="Y44" s="388"/>
      <c r="Z44" s="395">
        <f>SUM(AA44:AP44)-AP44</f>
        <v>0</v>
      </c>
      <c r="AA44" s="388"/>
      <c r="AB44" s="388"/>
      <c r="AC44" s="388"/>
      <c r="AD44" s="388"/>
      <c r="AE44" s="388"/>
      <c r="AF44" s="388"/>
      <c r="AG44" s="388"/>
      <c r="AH44" s="388"/>
      <c r="AI44" s="388"/>
      <c r="AJ44" s="388"/>
      <c r="AK44" s="388"/>
      <c r="AL44" s="388"/>
      <c r="AM44" s="388"/>
      <c r="AN44" s="388"/>
      <c r="AO44" s="388"/>
      <c r="AP44" s="387">
        <f>D44-BD44</f>
        <v>2.23</v>
      </c>
      <c r="AQ44" s="388"/>
      <c r="AR44" s="388"/>
      <c r="AS44" s="388"/>
      <c r="AT44" s="388"/>
      <c r="AU44" s="388"/>
      <c r="AV44" s="388"/>
      <c r="AW44" s="388"/>
      <c r="AX44" s="388"/>
      <c r="AY44" s="388"/>
      <c r="AZ44" s="388"/>
      <c r="BA44" s="388"/>
      <c r="BB44" s="388"/>
      <c r="BC44" s="388"/>
      <c r="BD44" s="395">
        <f>F44+SUM(H44:L44)+SUM(N44:Y44)+SUM(AA44:AO44)+SUM(AQ44:BC44)</f>
        <v>0</v>
      </c>
      <c r="BE44" s="386">
        <f>'B6'!H45</f>
        <v>2.5299999999999998</v>
      </c>
      <c r="BG44" s="439"/>
    </row>
    <row r="45" spans="1:59">
      <c r="A45" s="432" t="s">
        <v>156</v>
      </c>
      <c r="B45" s="310" t="s">
        <v>48</v>
      </c>
      <c r="C45" s="432" t="s">
        <v>49</v>
      </c>
      <c r="D45" s="386">
        <f>'B1'!D48</f>
        <v>0</v>
      </c>
      <c r="E45" s="388"/>
      <c r="F45" s="388"/>
      <c r="G45" s="395"/>
      <c r="H45" s="388"/>
      <c r="I45" s="388"/>
      <c r="J45" s="388"/>
      <c r="K45" s="388"/>
      <c r="L45" s="388"/>
      <c r="M45" s="395"/>
      <c r="N45" s="388"/>
      <c r="O45" s="388"/>
      <c r="P45" s="388"/>
      <c r="Q45" s="388"/>
      <c r="R45" s="388"/>
      <c r="S45" s="388"/>
      <c r="T45" s="388"/>
      <c r="U45" s="388"/>
      <c r="V45" s="388"/>
      <c r="W45" s="388"/>
      <c r="X45" s="388"/>
      <c r="Y45" s="388"/>
      <c r="Z45" s="395">
        <f t="shared" ref="Z45:Z57" si="3">SUM(AA45:AP45)</f>
        <v>0</v>
      </c>
      <c r="AA45" s="388"/>
      <c r="AB45" s="388"/>
      <c r="AC45" s="388"/>
      <c r="AD45" s="388"/>
      <c r="AE45" s="388"/>
      <c r="AF45" s="388"/>
      <c r="AG45" s="388"/>
      <c r="AH45" s="388"/>
      <c r="AI45" s="388"/>
      <c r="AJ45" s="388"/>
      <c r="AK45" s="388"/>
      <c r="AL45" s="388"/>
      <c r="AM45" s="388"/>
      <c r="AN45" s="388"/>
      <c r="AO45" s="388"/>
      <c r="AP45" s="388"/>
      <c r="AQ45" s="387">
        <f>D45-BD45</f>
        <v>0</v>
      </c>
      <c r="AR45" s="388"/>
      <c r="AS45" s="388"/>
      <c r="AT45" s="388"/>
      <c r="AU45" s="388"/>
      <c r="AV45" s="388"/>
      <c r="AW45" s="388"/>
      <c r="AX45" s="388"/>
      <c r="AY45" s="388"/>
      <c r="AZ45" s="388"/>
      <c r="BA45" s="388"/>
      <c r="BB45" s="388"/>
      <c r="BC45" s="388"/>
      <c r="BD45" s="395">
        <f>F45+SUM(H45:L45)+SUM(N45:Y45)+SUM(AA45:AP45)+SUM(AR45:BC45)</f>
        <v>0</v>
      </c>
      <c r="BE45" s="386">
        <f>'B6'!H46</f>
        <v>0</v>
      </c>
      <c r="BG45" s="439"/>
    </row>
    <row r="46" spans="1:59">
      <c r="A46" s="432" t="s">
        <v>157</v>
      </c>
      <c r="B46" s="310" t="s">
        <v>67</v>
      </c>
      <c r="C46" s="432" t="s">
        <v>68</v>
      </c>
      <c r="D46" s="386">
        <f>'B1'!D49</f>
        <v>13.120000000000001</v>
      </c>
      <c r="E46" s="388"/>
      <c r="F46" s="388"/>
      <c r="G46" s="395"/>
      <c r="H46" s="388"/>
      <c r="I46" s="388"/>
      <c r="J46" s="388"/>
      <c r="K46" s="388"/>
      <c r="L46" s="388"/>
      <c r="M46" s="395"/>
      <c r="N46" s="388"/>
      <c r="O46" s="388"/>
      <c r="P46" s="388"/>
      <c r="Q46" s="388"/>
      <c r="R46" s="388"/>
      <c r="S46" s="388"/>
      <c r="T46" s="388"/>
      <c r="U46" s="388"/>
      <c r="V46" s="388"/>
      <c r="W46" s="388"/>
      <c r="X46" s="388"/>
      <c r="Y46" s="388"/>
      <c r="Z46" s="395">
        <f t="shared" si="3"/>
        <v>0</v>
      </c>
      <c r="AA46" s="388"/>
      <c r="AB46" s="388"/>
      <c r="AC46" s="388"/>
      <c r="AD46" s="388"/>
      <c r="AE46" s="388"/>
      <c r="AF46" s="388"/>
      <c r="AG46" s="388"/>
      <c r="AH46" s="388"/>
      <c r="AI46" s="388"/>
      <c r="AJ46" s="388"/>
      <c r="AK46" s="388"/>
      <c r="AL46" s="388"/>
      <c r="AM46" s="388"/>
      <c r="AN46" s="388"/>
      <c r="AO46" s="388"/>
      <c r="AP46" s="388"/>
      <c r="AQ46" s="388"/>
      <c r="AR46" s="387">
        <f>D46-BD46</f>
        <v>13.120000000000001</v>
      </c>
      <c r="AS46" s="388"/>
      <c r="AT46" s="388"/>
      <c r="AU46" s="388"/>
      <c r="AV46" s="388"/>
      <c r="AW46" s="388"/>
      <c r="AX46" s="388"/>
      <c r="AY46" s="388"/>
      <c r="AZ46" s="388"/>
      <c r="BA46" s="388"/>
      <c r="BB46" s="388"/>
      <c r="BC46" s="388"/>
      <c r="BD46" s="395">
        <f>F46+SUM(H46:L46)+SUM(N46:Y46)+SUM(AA46:AQ46)+SUM(AS46:BC46)</f>
        <v>0</v>
      </c>
      <c r="BE46" s="386">
        <f>'B6'!H47</f>
        <v>13.25</v>
      </c>
      <c r="BG46" s="439"/>
    </row>
    <row r="47" spans="1:59">
      <c r="A47" s="432" t="s">
        <v>158</v>
      </c>
      <c r="B47" s="310" t="s">
        <v>69</v>
      </c>
      <c r="C47" s="432" t="s">
        <v>70</v>
      </c>
      <c r="D47" s="386">
        <f>'B1'!D50</f>
        <v>3.08</v>
      </c>
      <c r="E47" s="388"/>
      <c r="F47" s="388"/>
      <c r="G47" s="395"/>
      <c r="H47" s="388"/>
      <c r="I47" s="388"/>
      <c r="J47" s="388"/>
      <c r="K47" s="388"/>
      <c r="L47" s="388"/>
      <c r="M47" s="395"/>
      <c r="N47" s="388"/>
      <c r="O47" s="388"/>
      <c r="P47" s="388"/>
      <c r="Q47" s="388"/>
      <c r="R47" s="388"/>
      <c r="S47" s="388"/>
      <c r="T47" s="388"/>
      <c r="U47" s="388"/>
      <c r="V47" s="388"/>
      <c r="W47" s="388"/>
      <c r="X47" s="388"/>
      <c r="Y47" s="388"/>
      <c r="Z47" s="395">
        <f t="shared" si="3"/>
        <v>0</v>
      </c>
      <c r="AA47" s="388"/>
      <c r="AB47" s="388"/>
      <c r="AC47" s="388"/>
      <c r="AD47" s="388"/>
      <c r="AE47" s="388"/>
      <c r="AF47" s="388"/>
      <c r="AG47" s="388"/>
      <c r="AH47" s="388"/>
      <c r="AI47" s="388"/>
      <c r="AJ47" s="388"/>
      <c r="AK47" s="388"/>
      <c r="AL47" s="388"/>
      <c r="AM47" s="388"/>
      <c r="AN47" s="388"/>
      <c r="AO47" s="388"/>
      <c r="AP47" s="388"/>
      <c r="AQ47" s="388"/>
      <c r="AR47" s="388"/>
      <c r="AS47" s="387">
        <f>D47-BD47</f>
        <v>3.08</v>
      </c>
      <c r="AT47" s="388"/>
      <c r="AU47" s="388"/>
      <c r="AV47" s="388"/>
      <c r="AW47" s="388"/>
      <c r="AX47" s="388"/>
      <c r="AY47" s="388"/>
      <c r="AZ47" s="388"/>
      <c r="BA47" s="388"/>
      <c r="BB47" s="388"/>
      <c r="BC47" s="388"/>
      <c r="BD47" s="395">
        <f>F47+SUM(H47:L47)+SUM(N47:Y47)+SUM(AA47:AR47)+SUM(AT47:BC47)</f>
        <v>0</v>
      </c>
      <c r="BE47" s="386">
        <f>'B6'!H48</f>
        <v>5.85</v>
      </c>
      <c r="BG47" s="439"/>
    </row>
    <row r="48" spans="1:59">
      <c r="A48" s="432" t="s">
        <v>159</v>
      </c>
      <c r="B48" s="310" t="s">
        <v>52</v>
      </c>
      <c r="C48" s="432" t="s">
        <v>53</v>
      </c>
      <c r="D48" s="386">
        <f>'B1'!D51</f>
        <v>723.55</v>
      </c>
      <c r="E48" s="388"/>
      <c r="F48" s="388"/>
      <c r="G48" s="395"/>
      <c r="H48" s="388"/>
      <c r="I48" s="388"/>
      <c r="J48" s="388"/>
      <c r="K48" s="388"/>
      <c r="L48" s="388"/>
      <c r="M48" s="395"/>
      <c r="N48" s="388"/>
      <c r="O48" s="388"/>
      <c r="P48" s="388"/>
      <c r="Q48" s="388"/>
      <c r="R48" s="388"/>
      <c r="S48" s="388"/>
      <c r="T48" s="388"/>
      <c r="U48" s="388"/>
      <c r="V48" s="388"/>
      <c r="W48" s="388"/>
      <c r="X48" s="388"/>
      <c r="Y48" s="388"/>
      <c r="Z48" s="395">
        <f t="shared" si="3"/>
        <v>0.6</v>
      </c>
      <c r="AA48" s="388">
        <v>0.6</v>
      </c>
      <c r="AB48" s="388"/>
      <c r="AC48" s="388"/>
      <c r="AD48" s="388"/>
      <c r="AE48" s="388"/>
      <c r="AF48" s="388"/>
      <c r="AG48" s="388"/>
      <c r="AH48" s="388"/>
      <c r="AI48" s="388"/>
      <c r="AJ48" s="388"/>
      <c r="AK48" s="388"/>
      <c r="AL48" s="388"/>
      <c r="AM48" s="388"/>
      <c r="AN48" s="388"/>
      <c r="AO48" s="388"/>
      <c r="AP48" s="388"/>
      <c r="AQ48" s="388"/>
      <c r="AR48" s="388"/>
      <c r="AS48" s="388"/>
      <c r="AT48" s="387">
        <f>D48-BD48</f>
        <v>722.94999999999993</v>
      </c>
      <c r="AU48" s="388"/>
      <c r="AV48" s="388"/>
      <c r="AW48" s="388"/>
      <c r="AX48" s="388"/>
      <c r="AY48" s="388"/>
      <c r="AZ48" s="388"/>
      <c r="BA48" s="388"/>
      <c r="BB48" s="388"/>
      <c r="BC48" s="388"/>
      <c r="BD48" s="395">
        <f>F48+SUM(H48:L48)+SUM(N48:Y48)+SUM(AA48:AS48)+SUM(AU48:BC48)</f>
        <v>0.6</v>
      </c>
      <c r="BE48" s="386">
        <f>'B6'!H49</f>
        <v>807.09</v>
      </c>
      <c r="BG48" s="439"/>
    </row>
    <row r="49" spans="1:59">
      <c r="A49" s="432" t="s">
        <v>160</v>
      </c>
      <c r="B49" s="310" t="s">
        <v>54</v>
      </c>
      <c r="C49" s="432" t="s">
        <v>55</v>
      </c>
      <c r="D49" s="386">
        <f>'B1'!D52</f>
        <v>120.44999999999999</v>
      </c>
      <c r="E49" s="388"/>
      <c r="F49" s="388"/>
      <c r="G49" s="395"/>
      <c r="H49" s="388"/>
      <c r="I49" s="388"/>
      <c r="J49" s="388"/>
      <c r="K49" s="388"/>
      <c r="L49" s="388"/>
      <c r="M49" s="395"/>
      <c r="N49" s="388"/>
      <c r="O49" s="388"/>
      <c r="P49" s="388"/>
      <c r="Q49" s="388"/>
      <c r="R49" s="388"/>
      <c r="S49" s="388"/>
      <c r="T49" s="388"/>
      <c r="U49" s="388"/>
      <c r="V49" s="388"/>
      <c r="W49" s="388"/>
      <c r="X49" s="388"/>
      <c r="Y49" s="388"/>
      <c r="Z49" s="395">
        <f t="shared" si="3"/>
        <v>5.19</v>
      </c>
      <c r="AA49" s="388">
        <v>5.19</v>
      </c>
      <c r="AB49" s="388"/>
      <c r="AC49" s="388"/>
      <c r="AD49" s="388"/>
      <c r="AE49" s="388"/>
      <c r="AF49" s="388"/>
      <c r="AG49" s="388"/>
      <c r="AH49" s="388"/>
      <c r="AI49" s="388"/>
      <c r="AJ49" s="388"/>
      <c r="AK49" s="388"/>
      <c r="AL49" s="388"/>
      <c r="AM49" s="388"/>
      <c r="AN49" s="388"/>
      <c r="AO49" s="388"/>
      <c r="AP49" s="388"/>
      <c r="AQ49" s="388"/>
      <c r="AR49" s="388"/>
      <c r="AS49" s="388"/>
      <c r="AT49" s="388"/>
      <c r="AU49" s="387">
        <f>D49-BD49</f>
        <v>115.25999999999999</v>
      </c>
      <c r="AV49" s="388"/>
      <c r="AW49" s="388"/>
      <c r="AX49" s="388"/>
      <c r="AY49" s="388"/>
      <c r="AZ49" s="388"/>
      <c r="BA49" s="388"/>
      <c r="BB49" s="388"/>
      <c r="BC49" s="388"/>
      <c r="BD49" s="395">
        <f>F49+SUM(H49:L49)+SUM(N49:Y49)+SUM(AA49:AT49)+SUM(AV49:BC49)</f>
        <v>5.19</v>
      </c>
      <c r="BE49" s="386">
        <f>'B6'!H50</f>
        <v>125.06</v>
      </c>
      <c r="BG49" s="439"/>
    </row>
    <row r="50" spans="1:59">
      <c r="A50" s="432" t="s">
        <v>161</v>
      </c>
      <c r="B50" s="310" t="s">
        <v>56</v>
      </c>
      <c r="C50" s="432" t="s">
        <v>57</v>
      </c>
      <c r="D50" s="386">
        <f>'B1'!D53</f>
        <v>21.96</v>
      </c>
      <c r="E50" s="388"/>
      <c r="F50" s="388"/>
      <c r="G50" s="395"/>
      <c r="H50" s="388"/>
      <c r="I50" s="388"/>
      <c r="J50" s="388"/>
      <c r="K50" s="388"/>
      <c r="L50" s="388"/>
      <c r="M50" s="395"/>
      <c r="N50" s="388"/>
      <c r="O50" s="388"/>
      <c r="P50" s="388"/>
      <c r="Q50" s="388"/>
      <c r="R50" s="388">
        <v>0.34</v>
      </c>
      <c r="S50" s="388"/>
      <c r="T50" s="388"/>
      <c r="U50" s="388"/>
      <c r="V50" s="388"/>
      <c r="W50" s="388"/>
      <c r="X50" s="388"/>
      <c r="Y50" s="388"/>
      <c r="Z50" s="395">
        <f t="shared" si="3"/>
        <v>1.5</v>
      </c>
      <c r="AA50" s="388">
        <v>1.5</v>
      </c>
      <c r="AB50" s="388"/>
      <c r="AC50" s="388"/>
      <c r="AD50" s="388"/>
      <c r="AE50" s="388"/>
      <c r="AF50" s="388"/>
      <c r="AG50" s="388"/>
      <c r="AH50" s="388"/>
      <c r="AI50" s="388"/>
      <c r="AJ50" s="388"/>
      <c r="AK50" s="388"/>
      <c r="AL50" s="388"/>
      <c r="AM50" s="388"/>
      <c r="AN50" s="388"/>
      <c r="AO50" s="388"/>
      <c r="AP50" s="388"/>
      <c r="AQ50" s="388"/>
      <c r="AR50" s="388"/>
      <c r="AS50" s="388"/>
      <c r="AT50" s="388"/>
      <c r="AU50" s="388">
        <v>0.9</v>
      </c>
      <c r="AV50" s="387">
        <f>D50-BD50</f>
        <v>19.220000000000002</v>
      </c>
      <c r="AW50" s="388"/>
      <c r="AX50" s="388"/>
      <c r="AY50" s="388"/>
      <c r="AZ50" s="388"/>
      <c r="BA50" s="388"/>
      <c r="BB50" s="388"/>
      <c r="BC50" s="388"/>
      <c r="BD50" s="395">
        <f>F50+SUM(H50:L50)+SUM(N50:Y50)+SUM(AA50:AU50)+SUM(AW50:BC50)</f>
        <v>2.7399999999999998</v>
      </c>
      <c r="BE50" s="386">
        <f>'B6'!H51</f>
        <v>20.970000000000002</v>
      </c>
      <c r="BG50" s="439"/>
    </row>
    <row r="51" spans="1:59">
      <c r="A51" s="432" t="s">
        <v>162</v>
      </c>
      <c r="B51" s="310" t="s">
        <v>58</v>
      </c>
      <c r="C51" s="432" t="s">
        <v>59</v>
      </c>
      <c r="D51" s="386">
        <f>'B1'!D54</f>
        <v>5.03</v>
      </c>
      <c r="E51" s="388"/>
      <c r="F51" s="388"/>
      <c r="G51" s="395"/>
      <c r="H51" s="388"/>
      <c r="I51" s="388"/>
      <c r="J51" s="388"/>
      <c r="K51" s="388"/>
      <c r="L51" s="388"/>
      <c r="M51" s="395"/>
      <c r="N51" s="388"/>
      <c r="O51" s="388"/>
      <c r="P51" s="388"/>
      <c r="Q51" s="388"/>
      <c r="R51" s="388"/>
      <c r="S51" s="388"/>
      <c r="T51" s="388"/>
      <c r="U51" s="388"/>
      <c r="V51" s="388"/>
      <c r="W51" s="388"/>
      <c r="X51" s="388"/>
      <c r="Y51" s="388"/>
      <c r="Z51" s="395">
        <f t="shared" si="3"/>
        <v>0</v>
      </c>
      <c r="AA51" s="388"/>
      <c r="AB51" s="388"/>
      <c r="AC51" s="388"/>
      <c r="AD51" s="388"/>
      <c r="AE51" s="388"/>
      <c r="AF51" s="388"/>
      <c r="AG51" s="388"/>
      <c r="AH51" s="388"/>
      <c r="AI51" s="388"/>
      <c r="AJ51" s="388"/>
      <c r="AK51" s="388"/>
      <c r="AL51" s="388"/>
      <c r="AM51" s="388"/>
      <c r="AN51" s="388"/>
      <c r="AO51" s="388"/>
      <c r="AP51" s="388"/>
      <c r="AQ51" s="388"/>
      <c r="AR51" s="388"/>
      <c r="AS51" s="388"/>
      <c r="AT51" s="388"/>
      <c r="AU51" s="388"/>
      <c r="AV51" s="388"/>
      <c r="AW51" s="387">
        <f>D51-BD51</f>
        <v>5.03</v>
      </c>
      <c r="AX51" s="388"/>
      <c r="AY51" s="388"/>
      <c r="AZ51" s="388"/>
      <c r="BA51" s="388"/>
      <c r="BB51" s="388"/>
      <c r="BC51" s="388"/>
      <c r="BD51" s="395">
        <f>F51+SUM(H51:L51)+SUM(N51:Y51)+SUM(AA51:AV51)+SUM(AX51:BC51)</f>
        <v>0</v>
      </c>
      <c r="BE51" s="386">
        <f>'B6'!H52</f>
        <v>5.03</v>
      </c>
      <c r="BG51" s="439"/>
    </row>
    <row r="52" spans="1:59">
      <c r="A52" s="432" t="s">
        <v>163</v>
      </c>
      <c r="B52" s="310" t="s">
        <v>60</v>
      </c>
      <c r="C52" s="432" t="s">
        <v>61</v>
      </c>
      <c r="D52" s="386">
        <f>'B1'!D55</f>
        <v>0</v>
      </c>
      <c r="E52" s="388"/>
      <c r="F52" s="388"/>
      <c r="G52" s="395"/>
      <c r="H52" s="388"/>
      <c r="I52" s="388"/>
      <c r="J52" s="388"/>
      <c r="K52" s="388"/>
      <c r="L52" s="388"/>
      <c r="M52" s="395"/>
      <c r="N52" s="388"/>
      <c r="O52" s="388"/>
      <c r="P52" s="388"/>
      <c r="Q52" s="388"/>
      <c r="R52" s="388"/>
      <c r="S52" s="388"/>
      <c r="T52" s="388"/>
      <c r="U52" s="388"/>
      <c r="V52" s="388"/>
      <c r="W52" s="388"/>
      <c r="X52" s="388"/>
      <c r="Y52" s="388"/>
      <c r="Z52" s="395">
        <f t="shared" si="3"/>
        <v>0</v>
      </c>
      <c r="AA52" s="388"/>
      <c r="AB52" s="388"/>
      <c r="AC52" s="388"/>
      <c r="AD52" s="388"/>
      <c r="AE52" s="388"/>
      <c r="AF52" s="388"/>
      <c r="AG52" s="388"/>
      <c r="AH52" s="388"/>
      <c r="AI52" s="388"/>
      <c r="AJ52" s="388"/>
      <c r="AK52" s="388"/>
      <c r="AL52" s="388"/>
      <c r="AM52" s="388"/>
      <c r="AN52" s="388"/>
      <c r="AO52" s="388"/>
      <c r="AP52" s="388"/>
      <c r="AQ52" s="388"/>
      <c r="AR52" s="388"/>
      <c r="AS52" s="388"/>
      <c r="AT52" s="388"/>
      <c r="AU52" s="388"/>
      <c r="AV52" s="388"/>
      <c r="AW52" s="388"/>
      <c r="AX52" s="387">
        <f>D52-BD52</f>
        <v>0</v>
      </c>
      <c r="AY52" s="388"/>
      <c r="AZ52" s="388"/>
      <c r="BA52" s="388"/>
      <c r="BB52" s="388"/>
      <c r="BC52" s="388"/>
      <c r="BD52" s="395">
        <f>F52+SUM(H52:L52)+SUM(N52:Y52)+SUM(AA52:AW52)+SUM(AY52:BC52)</f>
        <v>0</v>
      </c>
      <c r="BE52" s="386">
        <f>'B6'!H53</f>
        <v>0</v>
      </c>
      <c r="BG52" s="439"/>
    </row>
    <row r="53" spans="1:59">
      <c r="A53" s="432" t="s">
        <v>164</v>
      </c>
      <c r="B53" s="310" t="s">
        <v>71</v>
      </c>
      <c r="C53" s="432" t="s">
        <v>72</v>
      </c>
      <c r="D53" s="386">
        <f>'B1'!D56</f>
        <v>0.27</v>
      </c>
      <c r="E53" s="388"/>
      <c r="F53" s="388"/>
      <c r="G53" s="395"/>
      <c r="H53" s="388"/>
      <c r="I53" s="388"/>
      <c r="J53" s="388"/>
      <c r="K53" s="388"/>
      <c r="L53" s="388"/>
      <c r="M53" s="395"/>
      <c r="N53" s="388"/>
      <c r="O53" s="388"/>
      <c r="P53" s="388"/>
      <c r="Q53" s="388"/>
      <c r="R53" s="388"/>
      <c r="S53" s="388"/>
      <c r="T53" s="388"/>
      <c r="U53" s="388"/>
      <c r="V53" s="388"/>
      <c r="W53" s="388"/>
      <c r="X53" s="388"/>
      <c r="Y53" s="388"/>
      <c r="Z53" s="395">
        <f t="shared" si="3"/>
        <v>0</v>
      </c>
      <c r="AA53" s="388"/>
      <c r="AB53" s="388"/>
      <c r="AC53" s="388"/>
      <c r="AD53" s="388"/>
      <c r="AE53" s="388"/>
      <c r="AF53" s="388"/>
      <c r="AG53" s="388"/>
      <c r="AH53" s="388"/>
      <c r="AI53" s="388"/>
      <c r="AJ53" s="388"/>
      <c r="AK53" s="388"/>
      <c r="AL53" s="388"/>
      <c r="AM53" s="388"/>
      <c r="AN53" s="388"/>
      <c r="AO53" s="388"/>
      <c r="AP53" s="388"/>
      <c r="AQ53" s="388"/>
      <c r="AR53" s="388"/>
      <c r="AS53" s="388"/>
      <c r="AT53" s="388"/>
      <c r="AU53" s="388"/>
      <c r="AV53" s="388"/>
      <c r="AW53" s="388"/>
      <c r="AX53" s="388"/>
      <c r="AY53" s="387">
        <f>D53-BD53</f>
        <v>0.27</v>
      </c>
      <c r="AZ53" s="388"/>
      <c r="BA53" s="388"/>
      <c r="BB53" s="388"/>
      <c r="BC53" s="388"/>
      <c r="BD53" s="395">
        <f>F53+SUM(H53:L53)+SUM(N53:Y53)+SUM(AA53:AX53)+SUM(AZ53:BC53)</f>
        <v>0</v>
      </c>
      <c r="BE53" s="386">
        <f>'B6'!H54</f>
        <v>0.27</v>
      </c>
      <c r="BG53" s="439"/>
    </row>
    <row r="54" spans="1:59">
      <c r="A54" s="432" t="s">
        <v>165</v>
      </c>
      <c r="B54" s="310" t="s">
        <v>181</v>
      </c>
      <c r="C54" s="432" t="s">
        <v>74</v>
      </c>
      <c r="D54" s="386">
        <f>'B1'!D57</f>
        <v>1001.0600000000002</v>
      </c>
      <c r="E54" s="388"/>
      <c r="F54" s="388"/>
      <c r="G54" s="395"/>
      <c r="H54" s="388"/>
      <c r="I54" s="388"/>
      <c r="J54" s="388"/>
      <c r="K54" s="388"/>
      <c r="L54" s="388"/>
      <c r="M54" s="395"/>
      <c r="N54" s="388"/>
      <c r="O54" s="388"/>
      <c r="P54" s="388"/>
      <c r="Q54" s="388"/>
      <c r="R54" s="388"/>
      <c r="S54" s="388"/>
      <c r="T54" s="388"/>
      <c r="U54" s="388"/>
      <c r="V54" s="388"/>
      <c r="W54" s="388"/>
      <c r="X54" s="388"/>
      <c r="Y54" s="388"/>
      <c r="Z54" s="395">
        <f t="shared" si="3"/>
        <v>12.5</v>
      </c>
      <c r="AA54" s="388">
        <v>2</v>
      </c>
      <c r="AB54" s="388">
        <v>10.5</v>
      </c>
      <c r="AC54" s="388"/>
      <c r="AD54" s="388"/>
      <c r="AE54" s="388"/>
      <c r="AF54" s="388"/>
      <c r="AG54" s="388"/>
      <c r="AH54" s="388"/>
      <c r="AI54" s="388"/>
      <c r="AJ54" s="388"/>
      <c r="AK54" s="388"/>
      <c r="AL54" s="388"/>
      <c r="AM54" s="388"/>
      <c r="AN54" s="388"/>
      <c r="AO54" s="388"/>
      <c r="AP54" s="388"/>
      <c r="AQ54" s="388"/>
      <c r="AR54" s="388"/>
      <c r="AS54" s="388"/>
      <c r="AT54" s="388"/>
      <c r="AU54" s="388"/>
      <c r="AV54" s="388"/>
      <c r="AW54" s="388"/>
      <c r="AX54" s="388"/>
      <c r="AY54" s="388"/>
      <c r="AZ54" s="387">
        <f>D54-BD54</f>
        <v>988.56000000000017</v>
      </c>
      <c r="BA54" s="388"/>
      <c r="BB54" s="388"/>
      <c r="BC54" s="388"/>
      <c r="BD54" s="395">
        <f>F54+SUM(H54:L54)+SUM(N54:Y54)+SUM(AA54:AY54)+SUM(BA54:BC54)</f>
        <v>12.5</v>
      </c>
      <c r="BE54" s="386">
        <f>'B6'!H55</f>
        <v>988.56000000000017</v>
      </c>
      <c r="BG54" s="439"/>
    </row>
    <row r="55" spans="1:59">
      <c r="A55" s="432" t="s">
        <v>166</v>
      </c>
      <c r="B55" s="310" t="s">
        <v>75</v>
      </c>
      <c r="C55" s="432" t="s">
        <v>76</v>
      </c>
      <c r="D55" s="386">
        <f>'B1'!D58</f>
        <v>64.550000000000011</v>
      </c>
      <c r="E55" s="388"/>
      <c r="F55" s="388"/>
      <c r="G55" s="395"/>
      <c r="H55" s="388"/>
      <c r="I55" s="388"/>
      <c r="J55" s="388"/>
      <c r="K55" s="388"/>
      <c r="L55" s="388"/>
      <c r="M55" s="395"/>
      <c r="N55" s="388"/>
      <c r="O55" s="388"/>
      <c r="P55" s="388"/>
      <c r="Q55" s="388"/>
      <c r="R55" s="388"/>
      <c r="S55" s="388"/>
      <c r="T55" s="388"/>
      <c r="U55" s="388"/>
      <c r="V55" s="388"/>
      <c r="W55" s="388"/>
      <c r="X55" s="388"/>
      <c r="Y55" s="388"/>
      <c r="Z55" s="395">
        <f t="shared" si="3"/>
        <v>0</v>
      </c>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7">
        <f>D55-BD55</f>
        <v>64.550000000000011</v>
      </c>
      <c r="BB55" s="388"/>
      <c r="BC55" s="388"/>
      <c r="BD55" s="395">
        <f>F55+SUM(H55:L55)+SUM(N55:Y55)+SUM(AA55:AZ55)+SUM(BB55:BC55)</f>
        <v>0</v>
      </c>
      <c r="BE55" s="386">
        <f>'B6'!H56</f>
        <v>64.550000000000011</v>
      </c>
      <c r="BG55" s="439"/>
    </row>
    <row r="56" spans="1:59">
      <c r="A56" s="432" t="s">
        <v>167</v>
      </c>
      <c r="B56" s="310" t="s">
        <v>77</v>
      </c>
      <c r="C56" s="432" t="s">
        <v>78</v>
      </c>
      <c r="D56" s="386">
        <f>'B1'!D59</f>
        <v>1.41</v>
      </c>
      <c r="E56" s="388"/>
      <c r="F56" s="388"/>
      <c r="G56" s="395"/>
      <c r="H56" s="388"/>
      <c r="I56" s="388"/>
      <c r="J56" s="388"/>
      <c r="K56" s="388"/>
      <c r="L56" s="388"/>
      <c r="M56" s="395"/>
      <c r="N56" s="388"/>
      <c r="O56" s="388"/>
      <c r="P56" s="388"/>
      <c r="Q56" s="388"/>
      <c r="R56" s="388"/>
      <c r="S56" s="388"/>
      <c r="T56" s="388"/>
      <c r="U56" s="388"/>
      <c r="V56" s="388"/>
      <c r="W56" s="388"/>
      <c r="X56" s="388"/>
      <c r="Y56" s="388"/>
      <c r="Z56" s="395">
        <f t="shared" si="3"/>
        <v>0</v>
      </c>
      <c r="AA56" s="388"/>
      <c r="AB56" s="388"/>
      <c r="AC56" s="388"/>
      <c r="AD56" s="388"/>
      <c r="AE56" s="388"/>
      <c r="AF56" s="388"/>
      <c r="AG56" s="388"/>
      <c r="AH56" s="388"/>
      <c r="AI56" s="388"/>
      <c r="AJ56" s="388"/>
      <c r="AK56" s="388"/>
      <c r="AL56" s="388"/>
      <c r="AM56" s="388"/>
      <c r="AN56" s="388"/>
      <c r="AO56" s="388"/>
      <c r="AP56" s="388"/>
      <c r="AQ56" s="388"/>
      <c r="AR56" s="388"/>
      <c r="AS56" s="388"/>
      <c r="AT56" s="388"/>
      <c r="AU56" s="388"/>
      <c r="AV56" s="388"/>
      <c r="AW56" s="388"/>
      <c r="AX56" s="388"/>
      <c r="AY56" s="388"/>
      <c r="AZ56" s="388"/>
      <c r="BA56" s="388"/>
      <c r="BB56" s="387">
        <f>D56-BD56</f>
        <v>1.41</v>
      </c>
      <c r="BC56" s="388"/>
      <c r="BD56" s="395">
        <f>F56+SUM(H56:L56)+SUM(N56:Y56)+SUM(AA56:BA56)+BC56</f>
        <v>0</v>
      </c>
      <c r="BE56" s="386">
        <f>'B6'!H57</f>
        <v>14.63</v>
      </c>
      <c r="BG56" s="439"/>
    </row>
    <row r="57" spans="1:59" s="403" customFormat="1">
      <c r="A57" s="308">
        <v>3</v>
      </c>
      <c r="B57" s="309" t="s">
        <v>79</v>
      </c>
      <c r="C57" s="308" t="s">
        <v>80</v>
      </c>
      <c r="D57" s="442">
        <f>'B1'!D60</f>
        <v>170.91000000000003</v>
      </c>
      <c r="E57" s="400"/>
      <c r="F57" s="400"/>
      <c r="G57" s="402"/>
      <c r="H57" s="400"/>
      <c r="I57" s="400">
        <v>15</v>
      </c>
      <c r="J57" s="400"/>
      <c r="K57" s="400"/>
      <c r="L57" s="400"/>
      <c r="M57" s="402"/>
      <c r="N57" s="400"/>
      <c r="O57" s="400"/>
      <c r="P57" s="400"/>
      <c r="Q57" s="400"/>
      <c r="R57" s="400"/>
      <c r="S57" s="400"/>
      <c r="T57" s="400"/>
      <c r="U57" s="400"/>
      <c r="V57" s="400"/>
      <c r="W57" s="400"/>
      <c r="X57" s="400"/>
      <c r="Y57" s="400"/>
      <c r="Z57" s="402">
        <f t="shared" si="3"/>
        <v>0.5</v>
      </c>
      <c r="AA57" s="400">
        <v>0.5</v>
      </c>
      <c r="AB57" s="400"/>
      <c r="AC57" s="400"/>
      <c r="AD57" s="400"/>
      <c r="AE57" s="400"/>
      <c r="AF57" s="400"/>
      <c r="AG57" s="400"/>
      <c r="AH57" s="400"/>
      <c r="AI57" s="400"/>
      <c r="AJ57" s="400"/>
      <c r="AK57" s="400"/>
      <c r="AL57" s="400"/>
      <c r="AM57" s="400"/>
      <c r="AN57" s="400"/>
      <c r="AO57" s="400"/>
      <c r="AP57" s="400"/>
      <c r="AQ57" s="400"/>
      <c r="AR57" s="400"/>
      <c r="AS57" s="400"/>
      <c r="AT57" s="400"/>
      <c r="AU57" s="400"/>
      <c r="AV57" s="400"/>
      <c r="AW57" s="400"/>
      <c r="AX57" s="400"/>
      <c r="AY57" s="400"/>
      <c r="AZ57" s="400"/>
      <c r="BA57" s="400"/>
      <c r="BB57" s="400">
        <v>0.05</v>
      </c>
      <c r="BC57" s="401">
        <f>D57-BD57</f>
        <v>155.36000000000001</v>
      </c>
      <c r="BD57" s="402">
        <f>F57+SUM(H57:L57)+SUM(N57:Y57)+SUM(AA57:BB57)</f>
        <v>15.55</v>
      </c>
      <c r="BE57" s="442">
        <f>'B6'!H58</f>
        <v>155.36000000000001</v>
      </c>
    </row>
    <row r="58" spans="1:59" s="315" customFormat="1">
      <c r="A58" s="431"/>
      <c r="B58" s="313" t="s">
        <v>110</v>
      </c>
      <c r="C58" s="431"/>
      <c r="D58" s="406">
        <f>E58+Q58+BC58</f>
        <v>1175.7600000000002</v>
      </c>
      <c r="E58" s="390">
        <f>SUM(F58:P58)-G58-M58</f>
        <v>702.79000000000008</v>
      </c>
      <c r="F58" s="388">
        <f>SUM(F10:F14)+SUM(F16:F57)-F28</f>
        <v>0</v>
      </c>
      <c r="G58" s="395">
        <f>SUM(G10:G14)+SUM(G16:G57)-G28</f>
        <v>0</v>
      </c>
      <c r="H58" s="388">
        <f>H8+SUM(H11:H14)+SUM(H16:H57)-H28</f>
        <v>10</v>
      </c>
      <c r="I58" s="388">
        <f>I8+I10+SUM(I12:I14)+SUM(I16:I57)-I28</f>
        <v>117.2</v>
      </c>
      <c r="J58" s="388">
        <f>J8+SUM(J10:J11)+SUM(J13:J14)+SUM(J16:J57)-J28</f>
        <v>0</v>
      </c>
      <c r="K58" s="388">
        <f>K8+SUM(K10:K12)+K14+SUM(K16:K57)-K28</f>
        <v>0</v>
      </c>
      <c r="L58" s="388">
        <f>L8+SUM(L10:L13)+SUM(L16:L57)-L28</f>
        <v>517.47</v>
      </c>
      <c r="M58" s="395">
        <f>M8+SUM(M10:M14)+SUM(M16:M57)-M28</f>
        <v>0</v>
      </c>
      <c r="N58" s="388">
        <f>N8+SUM(N10:N14)+SUM(N17:N57)-N28</f>
        <v>7.1099999999999994</v>
      </c>
      <c r="O58" s="388">
        <f>O8+SUM(O10:O14)+O16+SUM(O18:O57)-O28</f>
        <v>0</v>
      </c>
      <c r="P58" s="388">
        <f>P8+SUM(P10:P14)+SUM(P16:P17)+SUM(P19:P57)-P28</f>
        <v>51.010000000000005</v>
      </c>
      <c r="Q58" s="390">
        <f>SUM(R58:BB58)-Z58</f>
        <v>472.97</v>
      </c>
      <c r="R58" s="388">
        <f>SUM(R8:R57)-R9-R15-R20-R28</f>
        <v>2.3400000000000034</v>
      </c>
      <c r="S58" s="388">
        <f>SUM(S8:S57)-S9-S15-S21-S28</f>
        <v>2.4399999999999995</v>
      </c>
      <c r="T58" s="388">
        <f>SUM(T8:T57)-T9-T15-T22-T28</f>
        <v>0</v>
      </c>
      <c r="U58" s="388">
        <f>SUM(U8:U57)-U9-U15-U23-U28</f>
        <v>25</v>
      </c>
      <c r="V58" s="388">
        <f>SUM(V8:V57)-V9-V15-V24-V28</f>
        <v>0</v>
      </c>
      <c r="W58" s="388">
        <f>SUM(W8:W57)-W9-W15-W25-W28</f>
        <v>29.069999999999993</v>
      </c>
      <c r="X58" s="388">
        <f>SUM(X8:X57)-X9-X15-X26-X28</f>
        <v>0</v>
      </c>
      <c r="Y58" s="388">
        <f>SUM(Y8:Y57)-Y9-Y15-Y27-Y28</f>
        <v>8.8999999999999986</v>
      </c>
      <c r="Z58" s="395">
        <f>SUM(Z8:Z57)-Z9-Z15-Z28</f>
        <v>293.40999999999985</v>
      </c>
      <c r="AA58" s="388">
        <f>SUM(AA8:AA57)-AA9-AA15-AA29-AA28</f>
        <v>158.69000000000005</v>
      </c>
      <c r="AB58" s="388">
        <f>SUM(AB8:AB57)-AB9-AB15-AB30-AB28</f>
        <v>70.399999999999991</v>
      </c>
      <c r="AC58" s="388">
        <f>SUM(AC8:AC57)-AC9-AC15-AC31-AC28</f>
        <v>4.9999999999999822E-2</v>
      </c>
      <c r="AD58" s="388">
        <f>SUM(AD8:AD57)-AD9-AD15-AD32-AD28</f>
        <v>0</v>
      </c>
      <c r="AE58" s="388">
        <f>SUM(AE8:AE57)-AE9-AE15-AE33-AE28</f>
        <v>1.4699999999999989</v>
      </c>
      <c r="AF58" s="388">
        <f>SUM(AF8:AF57)-AF9-AF15-AF34-AF28</f>
        <v>1.9999999999999574E-2</v>
      </c>
      <c r="AG58" s="388">
        <f>SUM(AG8:AG57)-AG9-AG15-AG35-AG28</f>
        <v>39.380000000000109</v>
      </c>
      <c r="AH58" s="388">
        <f>SUM(AH8:AH57)-AH9-AH15-AH36-AH28</f>
        <v>0</v>
      </c>
      <c r="AI58" s="388">
        <f>SUM(AI8:AI57)-AI9-AI15-AI37-AI28</f>
        <v>0</v>
      </c>
      <c r="AJ58" s="388">
        <f>SUM(AJ8:AJ57)-AJ9-AJ15-AJ38-AJ28</f>
        <v>0</v>
      </c>
      <c r="AK58" s="388">
        <f>SUM(AK8:AK57)-AK9-AK15-AK39-AK28</f>
        <v>18.5</v>
      </c>
      <c r="AL58" s="388">
        <f>SUM(AL8:AL57)-AL9-AL15-AL40-AL28</f>
        <v>0</v>
      </c>
      <c r="AM58" s="388">
        <f>SUM(AM8:AM57)-AM9-AM15-AM41-AM28</f>
        <v>4.5999999999999943</v>
      </c>
      <c r="AN58" s="388">
        <f>SUM(AN8:AN57)-AN9-AN15-AN42-AN28</f>
        <v>0</v>
      </c>
      <c r="AO58" s="388">
        <f>SUM(AO8:AO57)-AO9-AO15-AO43-AO28</f>
        <v>0</v>
      </c>
      <c r="AP58" s="388">
        <f>SUM(AP8:AP57)-AP9-AP15-AP44-AP28</f>
        <v>0.29999999999999982</v>
      </c>
      <c r="AQ58" s="388">
        <f>SUM(AQ8:AQ57)-AQ9-AQ15-AQ45-AQ28</f>
        <v>0</v>
      </c>
      <c r="AR58" s="388">
        <f>SUM(AR8:AR57)-AR9-AR15-AR46-AR28</f>
        <v>0.13000000000000078</v>
      </c>
      <c r="AS58" s="388">
        <f>SUM(AS8:AS57)-AS9-AS15-AS47-AS28</f>
        <v>2.7699999999999996</v>
      </c>
      <c r="AT58" s="388">
        <f>SUM(AT8:AT57)-AT9-AT15-AT48-AT28</f>
        <v>84.139999999999986</v>
      </c>
      <c r="AU58" s="388">
        <f>SUM(AU8:AU57)-AU9-AU15-AU49-AU28</f>
        <v>9.8000000000000114</v>
      </c>
      <c r="AV58" s="388">
        <f>SUM(AV8:AV57)-AV9-AV15-AV50-AV28</f>
        <v>1.75</v>
      </c>
      <c r="AW58" s="388">
        <f>SUM(AW8:AW57)-AW9-AW15-AW51-AW28</f>
        <v>0</v>
      </c>
      <c r="AX58" s="388">
        <f>SUM(AX8:AX57)-AX9-AX15-AX52-AX28</f>
        <v>0</v>
      </c>
      <c r="AY58" s="388">
        <f>SUM(AY8:AY57)-AY9-AY15-AY53-AY28</f>
        <v>0</v>
      </c>
      <c r="AZ58" s="388">
        <f>SUM(AZ8:AZ57)-AZ9-AZ15-AZ54-AZ28</f>
        <v>0</v>
      </c>
      <c r="BA58" s="388">
        <f>SUM(BA8:BA57)-BA9-BA15-BA55-BA28</f>
        <v>0</v>
      </c>
      <c r="BB58" s="388">
        <f>SUM(BB8:BB57)-BB9-BB15-BB56-BB28</f>
        <v>13.22</v>
      </c>
      <c r="BC58" s="390">
        <f>SUM(BC8:BC57)-BC9-BC15-BC57-BC28</f>
        <v>0</v>
      </c>
      <c r="BD58" s="389"/>
      <c r="BE58" s="390"/>
    </row>
    <row r="59" spans="1:59" s="315" customFormat="1">
      <c r="A59" s="431"/>
      <c r="B59" s="313" t="s">
        <v>472</v>
      </c>
      <c r="C59" s="431"/>
      <c r="D59" s="406">
        <f>E59+Q59+BC59</f>
        <v>143172.85999999999</v>
      </c>
      <c r="E59" s="406">
        <f>E58+E7</f>
        <v>134312.34</v>
      </c>
      <c r="F59" s="404">
        <f>F58+F8</f>
        <v>1197.1199999999999</v>
      </c>
      <c r="G59" s="405">
        <f>G58+G9</f>
        <v>733.12999999999988</v>
      </c>
      <c r="H59" s="404">
        <f>H58+H10</f>
        <v>14772.83</v>
      </c>
      <c r="I59" s="404">
        <f>I58+I11</f>
        <v>27032.240000000002</v>
      </c>
      <c r="J59" s="404">
        <f>J58+J12</f>
        <v>13285.24</v>
      </c>
      <c r="K59" s="404">
        <f>K58+K13</f>
        <v>43004.24</v>
      </c>
      <c r="L59" s="404">
        <f>L58+L14</f>
        <v>34743.349999999991</v>
      </c>
      <c r="M59" s="405">
        <f>M58+M15</f>
        <v>29661.95</v>
      </c>
      <c r="N59" s="404">
        <f>N58+N16</f>
        <v>129.5</v>
      </c>
      <c r="O59" s="404"/>
      <c r="P59" s="404">
        <f>P58+P18</f>
        <v>147.82</v>
      </c>
      <c r="Q59" s="404">
        <f>Q58+Q19</f>
        <v>8705.16</v>
      </c>
      <c r="R59" s="404">
        <f>R58+R20</f>
        <v>119.87</v>
      </c>
      <c r="S59" s="404">
        <f>S58+S21</f>
        <v>3.4099999999999993</v>
      </c>
      <c r="T59" s="404">
        <f>T58+T22</f>
        <v>0</v>
      </c>
      <c r="U59" s="404">
        <f>U58+U23</f>
        <v>25</v>
      </c>
      <c r="V59" s="404">
        <f>V58+V24</f>
        <v>5.169999999999999</v>
      </c>
      <c r="W59" s="404">
        <f>W58+W25</f>
        <v>84.859999999999985</v>
      </c>
      <c r="X59" s="404">
        <f>X58+X26</f>
        <v>4.66</v>
      </c>
      <c r="Y59" s="404">
        <f>Y58+Y27</f>
        <v>31.64</v>
      </c>
      <c r="Z59" s="405">
        <f>Z58+Z28</f>
        <v>6385.35</v>
      </c>
      <c r="AA59" s="404">
        <f>AA58+AA29</f>
        <v>1319.03</v>
      </c>
      <c r="AB59" s="404">
        <f>AB58+AB30</f>
        <v>162.97</v>
      </c>
      <c r="AC59" s="404">
        <f>AC58+AC31</f>
        <v>6.2299999999999995</v>
      </c>
      <c r="AD59" s="404">
        <f>AD58+AD32</f>
        <v>4.96</v>
      </c>
      <c r="AE59" s="404">
        <f>AE58+AE33</f>
        <v>62.94</v>
      </c>
      <c r="AF59" s="404">
        <f>AF58+AF34</f>
        <v>16.690000000000001</v>
      </c>
      <c r="AG59" s="404">
        <f>AG58+AG35</f>
        <v>4656.55</v>
      </c>
      <c r="AH59" s="404">
        <f>AH58+AH36</f>
        <v>1.02</v>
      </c>
      <c r="AI59" s="404"/>
      <c r="AJ59" s="404">
        <f>AJ58+AJ38</f>
        <v>3.86</v>
      </c>
      <c r="AK59" s="404">
        <f>AK58+AK39</f>
        <v>21.15</v>
      </c>
      <c r="AL59" s="404">
        <f>AL58+AL40</f>
        <v>5.8500000000000005</v>
      </c>
      <c r="AM59" s="404">
        <f>AM58+AM41</f>
        <v>120.85</v>
      </c>
      <c r="AN59" s="404"/>
      <c r="AO59" s="404">
        <f>AO58+AO43</f>
        <v>0.66</v>
      </c>
      <c r="AP59" s="404">
        <f>AP58+AP44</f>
        <v>2.5299999999999998</v>
      </c>
      <c r="AQ59" s="404"/>
      <c r="AR59" s="404">
        <f>AR58+AR46</f>
        <v>13.250000000000002</v>
      </c>
      <c r="AS59" s="404">
        <f>AS58+AS47</f>
        <v>5.85</v>
      </c>
      <c r="AT59" s="404">
        <f>AT58+AT48</f>
        <v>807.08999999999992</v>
      </c>
      <c r="AU59" s="404">
        <f>AU58+AU49</f>
        <v>125.06</v>
      </c>
      <c r="AV59" s="404">
        <f>AV58+AV50</f>
        <v>20.970000000000002</v>
      </c>
      <c r="AW59" s="404">
        <f>AW58+AW51</f>
        <v>5.03</v>
      </c>
      <c r="AX59" s="404"/>
      <c r="AY59" s="404">
        <f>AY58+AY53</f>
        <v>0.27</v>
      </c>
      <c r="AZ59" s="404">
        <f>AZ58+AZ54</f>
        <v>988.56000000000017</v>
      </c>
      <c r="BA59" s="404">
        <f>BA58+BA55</f>
        <v>64.550000000000011</v>
      </c>
      <c r="BB59" s="404">
        <f>BB58+BB56</f>
        <v>14.63</v>
      </c>
      <c r="BC59" s="404">
        <f>BC58+BC57</f>
        <v>155.36000000000001</v>
      </c>
      <c r="BD59" s="405"/>
      <c r="BE59" s="404"/>
    </row>
    <row r="92" spans="5:5">
      <c r="E92" s="315">
        <v>0</v>
      </c>
    </row>
  </sheetData>
  <mergeCells count="10">
    <mergeCell ref="A1:B1"/>
    <mergeCell ref="A2:AS2"/>
    <mergeCell ref="A3:BE3"/>
    <mergeCell ref="A4:A5"/>
    <mergeCell ref="B4:B5"/>
    <mergeCell ref="C4:C5"/>
    <mergeCell ref="D4:D5"/>
    <mergeCell ref="E4:BC4"/>
    <mergeCell ref="BD4:BD5"/>
    <mergeCell ref="BE4:BE5"/>
  </mergeCells>
  <pageMargins left="0.71" right="0.15" top="0.65" bottom="0.3" header="0.43" footer="0.2"/>
  <pageSetup paperSize="8" scale="3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topLeftCell="A6" workbookViewId="0">
      <pane ySplit="1" topLeftCell="A7" activePane="bottomLeft" state="frozen"/>
      <selection activeCell="A6" sqref="A6"/>
      <selection pane="bottomLeft" activeCell="N22" sqref="N22"/>
    </sheetView>
  </sheetViews>
  <sheetFormatPr defaultColWidth="9.140625" defaultRowHeight="12.75"/>
  <cols>
    <col min="1" max="1" width="6.7109375" style="330" customWidth="1"/>
    <col min="2" max="2" width="26.28515625" style="330" customWidth="1"/>
    <col min="3" max="3" width="7.42578125" style="330" customWidth="1"/>
    <col min="4" max="4" width="10" style="330" customWidth="1"/>
    <col min="5" max="5" width="11.42578125" style="330" bestFit="1" customWidth="1"/>
    <col min="6" max="6" width="14.7109375" style="330" customWidth="1"/>
    <col min="7" max="7" width="11.42578125" style="330" bestFit="1" customWidth="1"/>
    <col min="8" max="9" width="11.42578125" style="113" bestFit="1" customWidth="1"/>
    <col min="10" max="10" width="12.5703125" style="113" bestFit="1" customWidth="1"/>
    <col min="11" max="12" width="11.42578125" style="113" bestFit="1" customWidth="1"/>
    <col min="13" max="13" width="12.5703125" style="113" bestFit="1" customWidth="1"/>
    <col min="14" max="14" width="11.5703125" style="113" bestFit="1" customWidth="1"/>
    <col min="15" max="15" width="12.5703125" style="113" bestFit="1" customWidth="1"/>
    <col min="16" max="16384" width="9.140625" style="330"/>
  </cols>
  <sheetData>
    <row r="1" spans="1:17">
      <c r="D1" s="346">
        <f>D7-0.13</f>
        <v>1175.6299999999997</v>
      </c>
    </row>
    <row r="2" spans="1:17" ht="15.75">
      <c r="A2" s="811" t="s">
        <v>253</v>
      </c>
      <c r="B2" s="811"/>
      <c r="C2" s="811"/>
      <c r="D2" s="811"/>
      <c r="E2" s="811"/>
      <c r="F2" s="811"/>
      <c r="G2" s="811"/>
      <c r="H2" s="811"/>
      <c r="I2" s="811"/>
      <c r="J2" s="811"/>
      <c r="K2" s="811"/>
      <c r="L2" s="811"/>
      <c r="M2" s="811"/>
      <c r="N2" s="811"/>
      <c r="O2" s="811"/>
    </row>
    <row r="3" spans="1:17">
      <c r="A3" s="812" t="s">
        <v>0</v>
      </c>
      <c r="B3" s="812"/>
      <c r="C3" s="812"/>
      <c r="D3" s="812"/>
      <c r="E3" s="812"/>
      <c r="F3" s="812"/>
      <c r="G3" s="812"/>
      <c r="H3" s="812"/>
      <c r="I3" s="812"/>
      <c r="J3" s="812"/>
      <c r="K3" s="812"/>
      <c r="L3" s="812"/>
      <c r="M3" s="812"/>
      <c r="N3" s="812"/>
      <c r="O3" s="812"/>
    </row>
    <row r="4" spans="1:17">
      <c r="A4" s="742" t="s">
        <v>1</v>
      </c>
      <c r="B4" s="742" t="s">
        <v>252</v>
      </c>
      <c r="C4" s="742" t="s">
        <v>3</v>
      </c>
      <c r="D4" s="742" t="s">
        <v>4</v>
      </c>
      <c r="E4" s="742" t="s">
        <v>5</v>
      </c>
      <c r="F4" s="742"/>
      <c r="G4" s="742"/>
      <c r="H4" s="742"/>
      <c r="I4" s="742"/>
      <c r="J4" s="742"/>
      <c r="K4" s="742"/>
      <c r="L4" s="742"/>
      <c r="M4" s="742"/>
      <c r="N4" s="742"/>
      <c r="O4" s="742"/>
    </row>
    <row r="5" spans="1:17">
      <c r="A5" s="742"/>
      <c r="B5" s="742"/>
      <c r="C5" s="742"/>
      <c r="D5" s="742"/>
      <c r="E5" s="742"/>
      <c r="F5" s="742"/>
      <c r="G5" s="742"/>
      <c r="H5" s="742"/>
      <c r="I5" s="742"/>
      <c r="J5" s="742"/>
      <c r="K5" s="742"/>
      <c r="L5" s="742"/>
      <c r="M5" s="742"/>
      <c r="N5" s="742"/>
      <c r="O5" s="742"/>
    </row>
    <row r="6" spans="1:17" ht="28.5">
      <c r="A6" s="742"/>
      <c r="B6" s="742"/>
      <c r="C6" s="742"/>
      <c r="D6" s="742"/>
      <c r="E6" s="347" t="s">
        <v>111</v>
      </c>
      <c r="F6" s="348" t="s">
        <v>190</v>
      </c>
      <c r="G6" s="348" t="s">
        <v>169</v>
      </c>
      <c r="H6" s="348" t="s">
        <v>170</v>
      </c>
      <c r="I6" s="348" t="s">
        <v>172</v>
      </c>
      <c r="J6" s="348" t="s">
        <v>198</v>
      </c>
      <c r="K6" s="348" t="s">
        <v>197</v>
      </c>
      <c r="L6" s="348" t="s">
        <v>191</v>
      </c>
      <c r="M6" s="348" t="s">
        <v>189</v>
      </c>
      <c r="N6" s="348" t="s">
        <v>174</v>
      </c>
      <c r="O6" s="348" t="s">
        <v>173</v>
      </c>
    </row>
    <row r="7" spans="1:17" s="351" customFormat="1" ht="15.75">
      <c r="A7" s="349"/>
      <c r="B7" s="325" t="s">
        <v>248</v>
      </c>
      <c r="C7" s="325"/>
      <c r="D7" s="350">
        <f>SUM(E7:O7)</f>
        <v>1175.7599999999998</v>
      </c>
      <c r="E7" s="350">
        <f>E8+E20+E58</f>
        <v>95.41</v>
      </c>
      <c r="F7" s="350">
        <f t="shared" ref="F7:O7" si="0">F8+F20+F58</f>
        <v>524.06999999999994</v>
      </c>
      <c r="G7" s="350">
        <f t="shared" si="0"/>
        <v>130.63999999999999</v>
      </c>
      <c r="H7" s="350">
        <f t="shared" si="0"/>
        <v>114.60000000000001</v>
      </c>
      <c r="I7" s="350">
        <f t="shared" si="0"/>
        <v>60.31</v>
      </c>
      <c r="J7" s="350">
        <f t="shared" si="0"/>
        <v>16.88</v>
      </c>
      <c r="K7" s="350">
        <f t="shared" si="0"/>
        <v>35.1</v>
      </c>
      <c r="L7" s="350">
        <f t="shared" si="0"/>
        <v>33.92</v>
      </c>
      <c r="M7" s="350">
        <f t="shared" si="0"/>
        <v>27.439999999999998</v>
      </c>
      <c r="N7" s="350">
        <f t="shared" si="0"/>
        <v>111.87</v>
      </c>
      <c r="O7" s="350">
        <f t="shared" si="0"/>
        <v>25.52</v>
      </c>
    </row>
    <row r="8" spans="1:17" s="351" customFormat="1" ht="15.75">
      <c r="A8" s="352">
        <v>1</v>
      </c>
      <c r="B8" s="353" t="s">
        <v>6</v>
      </c>
      <c r="C8" s="326" t="s">
        <v>7</v>
      </c>
      <c r="D8" s="350">
        <f>SUM(E8:O8)</f>
        <v>702.79</v>
      </c>
      <c r="E8" s="371">
        <f>E9+SUM(E11:E19)</f>
        <v>4.03</v>
      </c>
      <c r="F8" s="371">
        <f t="shared" ref="F8:O8" si="1">F9+SUM(F11:F19)</f>
        <v>510.71</v>
      </c>
      <c r="G8" s="371">
        <f t="shared" si="1"/>
        <v>15</v>
      </c>
      <c r="H8" s="371">
        <f t="shared" si="1"/>
        <v>51.730000000000004</v>
      </c>
      <c r="I8" s="371">
        <f t="shared" si="1"/>
        <v>40.47</v>
      </c>
      <c r="J8" s="371">
        <f t="shared" si="1"/>
        <v>9.43</v>
      </c>
      <c r="K8" s="371">
        <f t="shared" si="1"/>
        <v>5</v>
      </c>
      <c r="L8" s="371">
        <f t="shared" si="1"/>
        <v>22.02</v>
      </c>
      <c r="M8" s="371">
        <f t="shared" si="1"/>
        <v>22.4</v>
      </c>
      <c r="N8" s="371">
        <f t="shared" si="1"/>
        <v>5</v>
      </c>
      <c r="O8" s="371">
        <f t="shared" si="1"/>
        <v>17</v>
      </c>
    </row>
    <row r="9" spans="1:17" ht="15.75">
      <c r="A9" s="354" t="s">
        <v>139</v>
      </c>
      <c r="B9" s="355" t="s">
        <v>8</v>
      </c>
      <c r="C9" s="327" t="s">
        <v>9</v>
      </c>
      <c r="D9" s="361">
        <f t="shared" ref="D9:D19" si="2">SUM(E9:O9)</f>
        <v>0</v>
      </c>
      <c r="E9" s="356"/>
      <c r="F9" s="356"/>
      <c r="G9" s="356"/>
      <c r="H9" s="357"/>
      <c r="I9" s="356"/>
      <c r="J9" s="356"/>
      <c r="K9" s="356"/>
      <c r="L9" s="358"/>
      <c r="M9" s="356"/>
      <c r="N9" s="356"/>
      <c r="O9" s="356"/>
    </row>
    <row r="10" spans="1:17" ht="31.5">
      <c r="A10" s="354"/>
      <c r="B10" s="359" t="s">
        <v>10</v>
      </c>
      <c r="C10" s="328" t="s">
        <v>11</v>
      </c>
      <c r="D10" s="361">
        <f t="shared" si="2"/>
        <v>0</v>
      </c>
      <c r="E10" s="356"/>
      <c r="F10" s="356"/>
      <c r="G10" s="356"/>
      <c r="H10" s="356"/>
      <c r="I10" s="356"/>
      <c r="J10" s="356"/>
      <c r="K10" s="356"/>
      <c r="L10" s="358"/>
      <c r="M10" s="356"/>
      <c r="N10" s="356"/>
      <c r="O10" s="356"/>
    </row>
    <row r="11" spans="1:17" ht="31.5">
      <c r="A11" s="354" t="s">
        <v>140</v>
      </c>
      <c r="B11" s="355" t="s">
        <v>12</v>
      </c>
      <c r="C11" s="327" t="s">
        <v>13</v>
      </c>
      <c r="D11" s="361">
        <f t="shared" si="2"/>
        <v>10</v>
      </c>
      <c r="E11" s="356"/>
      <c r="F11" s="356"/>
      <c r="G11" s="356"/>
      <c r="H11" s="357">
        <v>10</v>
      </c>
      <c r="I11" s="358"/>
      <c r="J11" s="358"/>
      <c r="K11" s="356"/>
      <c r="L11" s="358"/>
      <c r="M11" s="356"/>
      <c r="N11" s="356"/>
      <c r="O11" s="356"/>
      <c r="P11" s="346"/>
      <c r="Q11" s="360"/>
    </row>
    <row r="12" spans="1:17" ht="15.75">
      <c r="A12" s="354" t="s">
        <v>141</v>
      </c>
      <c r="B12" s="355" t="s">
        <v>14</v>
      </c>
      <c r="C12" s="327" t="s">
        <v>15</v>
      </c>
      <c r="D12" s="361">
        <f t="shared" si="2"/>
        <v>117.2</v>
      </c>
      <c r="E12" s="356">
        <v>3</v>
      </c>
      <c r="F12" s="356">
        <v>5</v>
      </c>
      <c r="G12" s="356">
        <v>15</v>
      </c>
      <c r="H12" s="357">
        <v>6</v>
      </c>
      <c r="I12" s="356">
        <v>19.2</v>
      </c>
      <c r="J12" s="356">
        <v>9</v>
      </c>
      <c r="K12" s="356">
        <v>5</v>
      </c>
      <c r="L12" s="358">
        <v>21</v>
      </c>
      <c r="M12" s="356">
        <v>14</v>
      </c>
      <c r="N12" s="356">
        <v>4</v>
      </c>
      <c r="O12" s="356">
        <v>16</v>
      </c>
    </row>
    <row r="13" spans="1:17" ht="15.75">
      <c r="A13" s="354" t="s">
        <v>142</v>
      </c>
      <c r="B13" s="355" t="s">
        <v>16</v>
      </c>
      <c r="C13" s="327" t="s">
        <v>17</v>
      </c>
      <c r="D13" s="361">
        <f t="shared" si="2"/>
        <v>0</v>
      </c>
      <c r="E13" s="356"/>
      <c r="F13" s="356"/>
      <c r="G13" s="356"/>
      <c r="H13" s="356"/>
      <c r="I13" s="356"/>
      <c r="J13" s="356"/>
      <c r="K13" s="356"/>
      <c r="L13" s="358"/>
      <c r="M13" s="356"/>
      <c r="N13" s="356"/>
      <c r="O13" s="356"/>
    </row>
    <row r="14" spans="1:17" ht="15.75">
      <c r="A14" s="354" t="s">
        <v>143</v>
      </c>
      <c r="B14" s="355" t="s">
        <v>18</v>
      </c>
      <c r="C14" s="327" t="s">
        <v>19</v>
      </c>
      <c r="D14" s="361">
        <f t="shared" si="2"/>
        <v>0</v>
      </c>
      <c r="E14" s="356"/>
      <c r="F14" s="356"/>
      <c r="G14" s="361"/>
      <c r="H14" s="361"/>
      <c r="I14" s="358"/>
      <c r="J14" s="358"/>
      <c r="K14" s="356"/>
      <c r="L14" s="358"/>
      <c r="M14" s="358"/>
      <c r="N14" s="356"/>
      <c r="O14" s="358"/>
    </row>
    <row r="15" spans="1:17" ht="15.75">
      <c r="A15" s="354" t="s">
        <v>144</v>
      </c>
      <c r="B15" s="355" t="s">
        <v>20</v>
      </c>
      <c r="C15" s="327" t="s">
        <v>21</v>
      </c>
      <c r="D15" s="361">
        <f t="shared" si="2"/>
        <v>517.47</v>
      </c>
      <c r="E15" s="356"/>
      <c r="F15" s="356">
        <v>500</v>
      </c>
      <c r="G15" s="356"/>
      <c r="H15" s="356"/>
      <c r="I15" s="356">
        <v>17.47</v>
      </c>
      <c r="J15" s="356"/>
      <c r="K15" s="356"/>
      <c r="L15" s="358"/>
      <c r="M15" s="356"/>
      <c r="N15" s="356"/>
      <c r="O15" s="356"/>
    </row>
    <row r="16" spans="1:17" ht="31.5">
      <c r="A16" s="354"/>
      <c r="B16" s="355" t="s">
        <v>277</v>
      </c>
      <c r="C16" s="327" t="s">
        <v>281</v>
      </c>
      <c r="D16" s="361">
        <f t="shared" si="2"/>
        <v>0</v>
      </c>
      <c r="E16" s="356"/>
      <c r="F16" s="356"/>
      <c r="G16" s="356"/>
      <c r="H16" s="356"/>
      <c r="I16" s="356"/>
      <c r="J16" s="356"/>
      <c r="K16" s="356"/>
      <c r="L16" s="358"/>
      <c r="M16" s="362"/>
      <c r="N16" s="362"/>
      <c r="O16" s="362"/>
    </row>
    <row r="17" spans="1:16" ht="15.75">
      <c r="A17" s="354" t="s">
        <v>145</v>
      </c>
      <c r="B17" s="355" t="s">
        <v>22</v>
      </c>
      <c r="C17" s="327" t="s">
        <v>23</v>
      </c>
      <c r="D17" s="361">
        <f t="shared" si="2"/>
        <v>7.1099999999999994</v>
      </c>
      <c r="E17" s="361">
        <v>1.03</v>
      </c>
      <c r="F17" s="361">
        <v>1.03</v>
      </c>
      <c r="G17" s="361"/>
      <c r="H17" s="361">
        <v>1.03</v>
      </c>
      <c r="I17" s="358"/>
      <c r="J17" s="358"/>
      <c r="K17" s="358"/>
      <c r="L17" s="358">
        <v>1.02</v>
      </c>
      <c r="M17" s="358">
        <v>1</v>
      </c>
      <c r="N17" s="358">
        <v>1</v>
      </c>
      <c r="O17" s="358">
        <v>1</v>
      </c>
    </row>
    <row r="18" spans="1:16" ht="15.75">
      <c r="A18" s="354" t="s">
        <v>146</v>
      </c>
      <c r="B18" s="355" t="s">
        <v>24</v>
      </c>
      <c r="C18" s="327" t="s">
        <v>25</v>
      </c>
      <c r="D18" s="361">
        <f t="shared" si="2"/>
        <v>0</v>
      </c>
      <c r="E18" s="356"/>
      <c r="F18" s="356"/>
      <c r="G18" s="356"/>
      <c r="H18" s="356"/>
      <c r="I18" s="356"/>
      <c r="J18" s="356"/>
      <c r="K18" s="356"/>
      <c r="L18" s="356"/>
      <c r="M18" s="356"/>
      <c r="N18" s="356"/>
      <c r="O18" s="356"/>
    </row>
    <row r="19" spans="1:16" s="113" customFormat="1" ht="15.75">
      <c r="A19" s="354" t="s">
        <v>147</v>
      </c>
      <c r="B19" s="355" t="s">
        <v>26</v>
      </c>
      <c r="C19" s="327" t="s">
        <v>27</v>
      </c>
      <c r="D19" s="361">
        <f t="shared" si="2"/>
        <v>51.01</v>
      </c>
      <c r="E19" s="361"/>
      <c r="F19" s="361">
        <v>4.68</v>
      </c>
      <c r="G19" s="361"/>
      <c r="H19" s="361">
        <v>34.700000000000003</v>
      </c>
      <c r="I19" s="361">
        <v>3.8</v>
      </c>
      <c r="J19" s="361">
        <v>0.43</v>
      </c>
      <c r="K19" s="361"/>
      <c r="L19" s="361"/>
      <c r="M19" s="361">
        <v>7.4</v>
      </c>
      <c r="N19" s="361"/>
      <c r="O19" s="361"/>
    </row>
    <row r="20" spans="1:16" s="351" customFormat="1" ht="15.75">
      <c r="A20" s="352">
        <v>2</v>
      </c>
      <c r="B20" s="353" t="s">
        <v>28</v>
      </c>
      <c r="C20" s="326" t="s">
        <v>29</v>
      </c>
      <c r="D20" s="350">
        <f t="shared" ref="D20:D52" si="3">SUM(E20:O20)</f>
        <v>472.96999999999997</v>
      </c>
      <c r="E20" s="371">
        <f>SUM(E21:E29)+SUM(E46:E57)</f>
        <v>91.38</v>
      </c>
      <c r="F20" s="371">
        <f t="shared" ref="F20:O20" si="4">SUM(F21:F29)+SUM(F46:F57)</f>
        <v>13.36</v>
      </c>
      <c r="G20" s="371">
        <f t="shared" si="4"/>
        <v>115.64</v>
      </c>
      <c r="H20" s="371">
        <f t="shared" si="4"/>
        <v>62.870000000000005</v>
      </c>
      <c r="I20" s="371">
        <f t="shared" si="4"/>
        <v>19.84</v>
      </c>
      <c r="J20" s="371">
        <f t="shared" si="4"/>
        <v>7.45</v>
      </c>
      <c r="K20" s="371">
        <f t="shared" si="4"/>
        <v>30.1</v>
      </c>
      <c r="L20" s="371">
        <f t="shared" si="4"/>
        <v>11.9</v>
      </c>
      <c r="M20" s="371">
        <f t="shared" si="4"/>
        <v>5.04</v>
      </c>
      <c r="N20" s="371">
        <f t="shared" si="4"/>
        <v>106.87</v>
      </c>
      <c r="O20" s="371">
        <f t="shared" si="4"/>
        <v>8.52</v>
      </c>
    </row>
    <row r="21" spans="1:16" ht="15.75">
      <c r="A21" s="354" t="s">
        <v>148</v>
      </c>
      <c r="B21" s="355" t="s">
        <v>30</v>
      </c>
      <c r="C21" s="327" t="s">
        <v>31</v>
      </c>
      <c r="D21" s="361">
        <f t="shared" si="3"/>
        <v>2.3400000000000003</v>
      </c>
      <c r="E21" s="356"/>
      <c r="F21" s="356">
        <v>0.1</v>
      </c>
      <c r="G21" s="356">
        <v>2</v>
      </c>
      <c r="H21" s="356"/>
      <c r="I21" s="356">
        <v>0.08</v>
      </c>
      <c r="J21" s="356"/>
      <c r="K21" s="356"/>
      <c r="L21" s="356"/>
      <c r="M21" s="356"/>
      <c r="N21" s="356">
        <v>0.16</v>
      </c>
      <c r="O21" s="356"/>
    </row>
    <row r="22" spans="1:16" ht="15.75">
      <c r="A22" s="354" t="s">
        <v>138</v>
      </c>
      <c r="B22" s="355" t="s">
        <v>32</v>
      </c>
      <c r="C22" s="327" t="s">
        <v>33</v>
      </c>
      <c r="D22" s="361">
        <f t="shared" si="3"/>
        <v>2.44</v>
      </c>
      <c r="E22" s="356">
        <v>2.2999999999999998</v>
      </c>
      <c r="F22" s="356">
        <v>0.06</v>
      </c>
      <c r="G22" s="356"/>
      <c r="H22" s="356"/>
      <c r="I22" s="356"/>
      <c r="J22" s="356"/>
      <c r="K22" s="356"/>
      <c r="L22" s="356"/>
      <c r="M22" s="356"/>
      <c r="N22" s="356"/>
      <c r="O22" s="356">
        <v>0.08</v>
      </c>
    </row>
    <row r="23" spans="1:16" ht="15.75">
      <c r="A23" s="354" t="s">
        <v>149</v>
      </c>
      <c r="B23" s="355" t="s">
        <v>34</v>
      </c>
      <c r="C23" s="327" t="s">
        <v>35</v>
      </c>
      <c r="D23" s="361">
        <f t="shared" si="3"/>
        <v>0</v>
      </c>
      <c r="E23" s="361"/>
      <c r="F23" s="361"/>
      <c r="G23" s="361"/>
      <c r="H23" s="361"/>
      <c r="I23" s="358"/>
      <c r="J23" s="358"/>
      <c r="K23" s="358"/>
      <c r="L23" s="358"/>
      <c r="M23" s="358"/>
      <c r="N23" s="358"/>
      <c r="O23" s="358"/>
    </row>
    <row r="24" spans="1:16" ht="15.75">
      <c r="A24" s="354" t="s">
        <v>150</v>
      </c>
      <c r="B24" s="355" t="s">
        <v>36</v>
      </c>
      <c r="C24" s="327" t="s">
        <v>37</v>
      </c>
      <c r="D24" s="361">
        <f t="shared" si="3"/>
        <v>25</v>
      </c>
      <c r="E24" s="356">
        <v>25</v>
      </c>
      <c r="F24" s="356"/>
      <c r="G24" s="356"/>
      <c r="H24" s="356"/>
      <c r="I24" s="356"/>
      <c r="J24" s="356"/>
      <c r="K24" s="356"/>
      <c r="L24" s="356"/>
      <c r="M24" s="356"/>
      <c r="N24" s="356"/>
      <c r="O24" s="356"/>
    </row>
    <row r="25" spans="1:16" ht="15" customHeight="1">
      <c r="A25" s="354" t="s">
        <v>151</v>
      </c>
      <c r="B25" s="355" t="s">
        <v>38</v>
      </c>
      <c r="C25" s="327" t="s">
        <v>39</v>
      </c>
      <c r="D25" s="361">
        <f t="shared" si="3"/>
        <v>0</v>
      </c>
      <c r="E25" s="361"/>
      <c r="F25" s="361"/>
      <c r="G25" s="361"/>
      <c r="H25" s="361"/>
      <c r="I25" s="358"/>
      <c r="J25" s="358"/>
      <c r="K25" s="358"/>
      <c r="L25" s="358"/>
      <c r="M25" s="358"/>
      <c r="N25" s="358"/>
      <c r="O25" s="358"/>
    </row>
    <row r="26" spans="1:16" ht="31.5">
      <c r="A26" s="354" t="s">
        <v>152</v>
      </c>
      <c r="B26" s="355" t="s">
        <v>40</v>
      </c>
      <c r="C26" s="327" t="s">
        <v>41</v>
      </c>
      <c r="D26" s="361">
        <f t="shared" si="3"/>
        <v>29.07</v>
      </c>
      <c r="E26" s="361"/>
      <c r="F26" s="361"/>
      <c r="G26" s="361">
        <v>3</v>
      </c>
      <c r="H26" s="357"/>
      <c r="I26" s="358">
        <v>5.57</v>
      </c>
      <c r="J26" s="358"/>
      <c r="K26" s="358"/>
      <c r="L26" s="358"/>
      <c r="M26" s="358">
        <v>0.5</v>
      </c>
      <c r="N26" s="358">
        <v>20</v>
      </c>
      <c r="O26" s="356"/>
    </row>
    <row r="27" spans="1:16" ht="31.5">
      <c r="A27" s="354" t="s">
        <v>153</v>
      </c>
      <c r="B27" s="355" t="s">
        <v>42</v>
      </c>
      <c r="C27" s="327" t="s">
        <v>43</v>
      </c>
      <c r="D27" s="361">
        <f t="shared" si="3"/>
        <v>0</v>
      </c>
      <c r="E27" s="356"/>
      <c r="F27" s="356"/>
      <c r="G27" s="356"/>
      <c r="H27" s="356"/>
      <c r="I27" s="356"/>
      <c r="J27" s="356"/>
      <c r="K27" s="356"/>
      <c r="L27" s="356"/>
      <c r="M27" s="356"/>
      <c r="N27" s="356"/>
      <c r="O27" s="356"/>
    </row>
    <row r="28" spans="1:16" ht="31.5">
      <c r="A28" s="354" t="s">
        <v>154</v>
      </c>
      <c r="B28" s="355" t="s">
        <v>179</v>
      </c>
      <c r="C28" s="327" t="s">
        <v>66</v>
      </c>
      <c r="D28" s="361">
        <f t="shared" si="3"/>
        <v>8.9</v>
      </c>
      <c r="E28" s="356"/>
      <c r="F28" s="356"/>
      <c r="G28" s="356"/>
      <c r="H28" s="356"/>
      <c r="I28" s="356"/>
      <c r="J28" s="356"/>
      <c r="K28" s="356"/>
      <c r="L28" s="356">
        <v>8.9</v>
      </c>
      <c r="M28" s="356"/>
      <c r="N28" s="356"/>
      <c r="O28" s="356"/>
    </row>
    <row r="29" spans="1:16" s="376" customFormat="1" ht="15" customHeight="1">
      <c r="A29" s="337" t="s">
        <v>155</v>
      </c>
      <c r="B29" s="372" t="s">
        <v>180</v>
      </c>
      <c r="C29" s="339" t="s">
        <v>45</v>
      </c>
      <c r="D29" s="373">
        <f t="shared" si="3"/>
        <v>293.41000000000003</v>
      </c>
      <c r="E29" s="374">
        <f>SUM(E30:E45)</f>
        <v>54.28</v>
      </c>
      <c r="F29" s="374">
        <f t="shared" ref="F29:O29" si="5">SUM(F30:F45)</f>
        <v>6.7</v>
      </c>
      <c r="G29" s="374">
        <f t="shared" si="5"/>
        <v>50.2</v>
      </c>
      <c r="H29" s="374">
        <f t="shared" si="5"/>
        <v>52</v>
      </c>
      <c r="I29" s="374">
        <f t="shared" si="5"/>
        <v>6.69</v>
      </c>
      <c r="J29" s="374">
        <f t="shared" si="5"/>
        <v>4.45</v>
      </c>
      <c r="K29" s="374">
        <f t="shared" si="5"/>
        <v>26.1</v>
      </c>
      <c r="L29" s="374">
        <f t="shared" si="5"/>
        <v>0</v>
      </c>
      <c r="M29" s="374">
        <f t="shared" si="5"/>
        <v>0.59000000000000008</v>
      </c>
      <c r="N29" s="374">
        <f t="shared" si="5"/>
        <v>84.460000000000008</v>
      </c>
      <c r="O29" s="374">
        <f t="shared" si="5"/>
        <v>7.94</v>
      </c>
      <c r="P29" s="375"/>
    </row>
    <row r="30" spans="1:16" s="367" customFormat="1" ht="15.75">
      <c r="A30" s="164"/>
      <c r="B30" s="363" t="s">
        <v>228</v>
      </c>
      <c r="C30" s="329" t="s">
        <v>196</v>
      </c>
      <c r="D30" s="365">
        <f t="shared" si="3"/>
        <v>158.69000000000003</v>
      </c>
      <c r="E30" s="365">
        <v>46.96</v>
      </c>
      <c r="F30" s="365">
        <v>5.5</v>
      </c>
      <c r="G30" s="365">
        <v>37.630000000000003</v>
      </c>
      <c r="H30" s="365">
        <v>22</v>
      </c>
      <c r="I30" s="365">
        <v>0.7</v>
      </c>
      <c r="J30" s="365"/>
      <c r="K30" s="365"/>
      <c r="L30" s="365"/>
      <c r="M30" s="365"/>
      <c r="N30" s="365">
        <v>39</v>
      </c>
      <c r="O30" s="365">
        <v>6.9</v>
      </c>
      <c r="P30" s="366"/>
    </row>
    <row r="31" spans="1:16" s="367" customFormat="1" ht="15.75">
      <c r="A31" s="164"/>
      <c r="B31" s="363" t="s">
        <v>229</v>
      </c>
      <c r="C31" s="329" t="s">
        <v>194</v>
      </c>
      <c r="D31" s="365">
        <f t="shared" si="3"/>
        <v>70.400000000000006</v>
      </c>
      <c r="E31" s="365">
        <v>5</v>
      </c>
      <c r="F31" s="365"/>
      <c r="G31" s="365">
        <v>7.4</v>
      </c>
      <c r="H31" s="365">
        <v>30</v>
      </c>
      <c r="I31" s="365"/>
      <c r="J31" s="365">
        <v>3</v>
      </c>
      <c r="K31" s="365">
        <v>25</v>
      </c>
      <c r="L31" s="365"/>
      <c r="M31" s="365"/>
      <c r="N31" s="365"/>
      <c r="O31" s="365"/>
      <c r="P31" s="366"/>
    </row>
    <row r="32" spans="1:16" s="367" customFormat="1" ht="30">
      <c r="A32" s="164"/>
      <c r="B32" s="363" t="s">
        <v>222</v>
      </c>
      <c r="C32" s="329" t="s">
        <v>232</v>
      </c>
      <c r="D32" s="365">
        <f t="shared" si="3"/>
        <v>0.05</v>
      </c>
      <c r="E32" s="365"/>
      <c r="F32" s="365"/>
      <c r="G32" s="365"/>
      <c r="H32" s="365"/>
      <c r="I32" s="365"/>
      <c r="J32" s="365"/>
      <c r="K32" s="365"/>
      <c r="L32" s="365"/>
      <c r="M32" s="365">
        <v>0.05</v>
      </c>
      <c r="N32" s="365"/>
      <c r="O32" s="365"/>
      <c r="P32" s="366"/>
    </row>
    <row r="33" spans="1:16" s="367" customFormat="1" ht="15.75">
      <c r="A33" s="164"/>
      <c r="B33" s="363" t="s">
        <v>223</v>
      </c>
      <c r="C33" s="329" t="s">
        <v>233</v>
      </c>
      <c r="D33" s="365">
        <f t="shared" si="3"/>
        <v>0</v>
      </c>
      <c r="E33" s="365"/>
      <c r="F33" s="365"/>
      <c r="G33" s="365"/>
      <c r="H33" s="365"/>
      <c r="I33" s="365"/>
      <c r="J33" s="365"/>
      <c r="K33" s="365"/>
      <c r="L33" s="365"/>
      <c r="M33" s="365"/>
      <c r="N33" s="365"/>
      <c r="O33" s="365"/>
      <c r="P33" s="366"/>
    </row>
    <row r="34" spans="1:16" s="367" customFormat="1" ht="31.5">
      <c r="A34" s="164"/>
      <c r="B34" s="363" t="s">
        <v>224</v>
      </c>
      <c r="C34" s="329" t="s">
        <v>192</v>
      </c>
      <c r="D34" s="365">
        <f t="shared" si="3"/>
        <v>1.47</v>
      </c>
      <c r="E34" s="365"/>
      <c r="F34" s="365">
        <v>1.2</v>
      </c>
      <c r="G34" s="365">
        <v>0.27</v>
      </c>
      <c r="H34" s="365"/>
      <c r="I34" s="365"/>
      <c r="J34" s="365"/>
      <c r="K34" s="365"/>
      <c r="L34" s="365"/>
      <c r="M34" s="365"/>
      <c r="N34" s="365"/>
      <c r="O34" s="365"/>
      <c r="P34" s="366"/>
    </row>
    <row r="35" spans="1:16" s="367" customFormat="1" ht="30">
      <c r="A35" s="164"/>
      <c r="B35" s="363" t="s">
        <v>225</v>
      </c>
      <c r="C35" s="329" t="s">
        <v>195</v>
      </c>
      <c r="D35" s="364">
        <f t="shared" si="3"/>
        <v>0.02</v>
      </c>
      <c r="E35" s="365">
        <v>0.02</v>
      </c>
      <c r="F35" s="365"/>
      <c r="G35" s="365"/>
      <c r="H35" s="365"/>
      <c r="I35" s="365"/>
      <c r="J35" s="365"/>
      <c r="K35" s="365"/>
      <c r="L35" s="365"/>
      <c r="M35" s="365"/>
      <c r="N35" s="365"/>
      <c r="O35" s="365"/>
      <c r="P35" s="366"/>
    </row>
    <row r="36" spans="1:16" s="367" customFormat="1" ht="15.75">
      <c r="A36" s="164"/>
      <c r="B36" s="363" t="s">
        <v>282</v>
      </c>
      <c r="C36" s="329" t="s">
        <v>193</v>
      </c>
      <c r="D36" s="365">
        <f t="shared" si="3"/>
        <v>39.380000000000003</v>
      </c>
      <c r="E36" s="365">
        <v>2.2999999999999998</v>
      </c>
      <c r="F36" s="365"/>
      <c r="G36" s="365"/>
      <c r="H36" s="365"/>
      <c r="I36" s="365">
        <v>5.99</v>
      </c>
      <c r="J36" s="365">
        <v>1.45</v>
      </c>
      <c r="K36" s="365">
        <v>1.1000000000000001</v>
      </c>
      <c r="L36" s="365"/>
      <c r="M36" s="365">
        <v>0.54</v>
      </c>
      <c r="N36" s="365">
        <v>26.96</v>
      </c>
      <c r="O36" s="365">
        <v>1.04</v>
      </c>
      <c r="P36" s="366"/>
    </row>
    <row r="37" spans="1:16" s="367" customFormat="1" ht="30">
      <c r="A37" s="164"/>
      <c r="B37" s="363" t="s">
        <v>230</v>
      </c>
      <c r="C37" s="329" t="s">
        <v>236</v>
      </c>
      <c r="D37" s="365">
        <f t="shared" si="3"/>
        <v>0</v>
      </c>
      <c r="E37" s="365"/>
      <c r="F37" s="365"/>
      <c r="G37" s="365"/>
      <c r="H37" s="365"/>
      <c r="I37" s="365"/>
      <c r="J37" s="365"/>
      <c r="K37" s="365"/>
      <c r="L37" s="365"/>
      <c r="M37" s="365"/>
      <c r="N37" s="365"/>
      <c r="O37" s="365"/>
      <c r="P37" s="366"/>
    </row>
    <row r="38" spans="1:16" s="367" customFormat="1" ht="31.5">
      <c r="A38" s="164"/>
      <c r="B38" s="363" t="s">
        <v>278</v>
      </c>
      <c r="C38" s="329" t="s">
        <v>279</v>
      </c>
      <c r="D38" s="365">
        <f t="shared" si="3"/>
        <v>0</v>
      </c>
      <c r="E38" s="365"/>
      <c r="F38" s="365"/>
      <c r="G38" s="365"/>
      <c r="H38" s="365"/>
      <c r="I38" s="365"/>
      <c r="J38" s="365"/>
      <c r="K38" s="365"/>
      <c r="L38" s="365"/>
      <c r="M38" s="365"/>
      <c r="N38" s="365"/>
      <c r="O38" s="365"/>
      <c r="P38" s="366"/>
    </row>
    <row r="39" spans="1:16" s="367" customFormat="1" ht="13.5" customHeight="1">
      <c r="A39" s="164"/>
      <c r="B39" s="363" t="s">
        <v>46</v>
      </c>
      <c r="C39" s="329" t="s">
        <v>47</v>
      </c>
      <c r="D39" s="365">
        <f t="shared" si="3"/>
        <v>0</v>
      </c>
      <c r="E39" s="365"/>
      <c r="F39" s="365"/>
      <c r="G39" s="365"/>
      <c r="H39" s="365"/>
      <c r="I39" s="365"/>
      <c r="J39" s="365"/>
      <c r="K39" s="365"/>
      <c r="L39" s="365"/>
      <c r="M39" s="365"/>
      <c r="N39" s="365"/>
      <c r="O39" s="365"/>
      <c r="P39" s="366"/>
    </row>
    <row r="40" spans="1:16" s="380" customFormat="1" ht="19.5" customHeight="1">
      <c r="A40" s="377"/>
      <c r="B40" s="359" t="s">
        <v>50</v>
      </c>
      <c r="C40" s="328" t="s">
        <v>51</v>
      </c>
      <c r="D40" s="378">
        <f t="shared" si="3"/>
        <v>18.5</v>
      </c>
      <c r="E40" s="379"/>
      <c r="F40" s="379"/>
      <c r="G40" s="379"/>
      <c r="H40" s="379"/>
      <c r="I40" s="379"/>
      <c r="J40" s="379"/>
      <c r="K40" s="379"/>
      <c r="L40" s="379"/>
      <c r="M40" s="379"/>
      <c r="N40" s="379">
        <v>18.5</v>
      </c>
      <c r="O40" s="379"/>
    </row>
    <row r="41" spans="1:16" s="380" customFormat="1" ht="15.75">
      <c r="A41" s="381"/>
      <c r="B41" s="359" t="s">
        <v>62</v>
      </c>
      <c r="C41" s="328" t="s">
        <v>63</v>
      </c>
      <c r="D41" s="378">
        <f t="shared" si="3"/>
        <v>0</v>
      </c>
      <c r="E41" s="382"/>
      <c r="F41" s="382"/>
      <c r="G41" s="382"/>
      <c r="H41" s="382"/>
      <c r="I41" s="379"/>
      <c r="J41" s="379"/>
      <c r="K41" s="379"/>
      <c r="L41" s="379"/>
      <c r="M41" s="379"/>
      <c r="N41" s="379"/>
      <c r="O41" s="379"/>
    </row>
    <row r="42" spans="1:16" s="380" customFormat="1" ht="31.5">
      <c r="A42" s="381"/>
      <c r="B42" s="359" t="s">
        <v>280</v>
      </c>
      <c r="C42" s="328" t="s">
        <v>64</v>
      </c>
      <c r="D42" s="378">
        <f t="shared" si="3"/>
        <v>4.5999999999999996</v>
      </c>
      <c r="E42" s="379"/>
      <c r="F42" s="379"/>
      <c r="G42" s="379">
        <v>4.5999999999999996</v>
      </c>
      <c r="H42" s="379"/>
      <c r="I42" s="379"/>
      <c r="J42" s="379"/>
      <c r="K42" s="379"/>
      <c r="L42" s="379"/>
      <c r="M42" s="379"/>
      <c r="N42" s="379"/>
      <c r="O42" s="379"/>
    </row>
    <row r="43" spans="1:16" s="380" customFormat="1" ht="31.5">
      <c r="A43" s="381"/>
      <c r="B43" s="359" t="s">
        <v>226</v>
      </c>
      <c r="C43" s="328" t="s">
        <v>234</v>
      </c>
      <c r="D43" s="378">
        <f t="shared" si="3"/>
        <v>0</v>
      </c>
      <c r="F43" s="379"/>
      <c r="G43" s="379"/>
      <c r="H43" s="379"/>
      <c r="I43" s="379"/>
      <c r="J43" s="379"/>
      <c r="K43" s="379"/>
      <c r="L43" s="379"/>
      <c r="M43" s="379"/>
      <c r="N43" s="379"/>
      <c r="O43" s="379"/>
    </row>
    <row r="44" spans="1:16" s="380" customFormat="1" ht="31.5">
      <c r="A44" s="381"/>
      <c r="B44" s="359" t="s">
        <v>227</v>
      </c>
      <c r="C44" s="328" t="s">
        <v>235</v>
      </c>
      <c r="D44" s="378">
        <f t="shared" si="3"/>
        <v>0</v>
      </c>
      <c r="E44" s="379"/>
      <c r="F44" s="379"/>
      <c r="G44" s="379"/>
      <c r="H44" s="379"/>
      <c r="I44" s="379"/>
      <c r="J44" s="379"/>
      <c r="K44" s="379"/>
      <c r="L44" s="379"/>
      <c r="M44" s="379"/>
      <c r="N44" s="379"/>
      <c r="O44" s="379"/>
    </row>
    <row r="45" spans="1:16" s="380" customFormat="1" ht="15.75">
      <c r="A45" s="381"/>
      <c r="B45" s="359" t="s">
        <v>231</v>
      </c>
      <c r="C45" s="328" t="s">
        <v>206</v>
      </c>
      <c r="D45" s="378">
        <f t="shared" si="3"/>
        <v>0.3</v>
      </c>
      <c r="E45" s="379"/>
      <c r="F45" s="379"/>
      <c r="G45" s="379">
        <v>0.3</v>
      </c>
      <c r="H45" s="382"/>
      <c r="I45" s="379"/>
      <c r="J45" s="379"/>
      <c r="K45" s="379"/>
      <c r="L45" s="383"/>
      <c r="M45" s="379"/>
      <c r="N45" s="379"/>
      <c r="O45" s="379"/>
    </row>
    <row r="46" spans="1:16" ht="15.75">
      <c r="A46" s="354" t="s">
        <v>156</v>
      </c>
      <c r="B46" s="355" t="s">
        <v>48</v>
      </c>
      <c r="C46" s="327" t="s">
        <v>49</v>
      </c>
      <c r="D46" s="361">
        <f t="shared" si="3"/>
        <v>0</v>
      </c>
      <c r="E46" s="356"/>
      <c r="F46" s="361"/>
      <c r="G46" s="361"/>
      <c r="H46" s="361"/>
      <c r="I46" s="358"/>
      <c r="J46" s="358"/>
      <c r="K46" s="358"/>
      <c r="L46" s="358"/>
      <c r="M46" s="358"/>
      <c r="N46" s="358"/>
      <c r="O46" s="358"/>
    </row>
    <row r="47" spans="1:16" ht="15.75">
      <c r="A47" s="354" t="s">
        <v>157</v>
      </c>
      <c r="B47" s="355" t="s">
        <v>67</v>
      </c>
      <c r="C47" s="327" t="s">
        <v>68</v>
      </c>
      <c r="D47" s="361">
        <f t="shared" si="3"/>
        <v>0.13</v>
      </c>
      <c r="E47" s="361"/>
      <c r="F47" s="361"/>
      <c r="G47" s="361">
        <v>0.13</v>
      </c>
      <c r="H47" s="361"/>
      <c r="I47" s="358"/>
      <c r="J47" s="358"/>
      <c r="K47" s="358"/>
      <c r="L47" s="358"/>
      <c r="M47" s="358"/>
      <c r="N47" s="358"/>
      <c r="O47" s="358"/>
    </row>
    <row r="48" spans="1:16" ht="31.5">
      <c r="A48" s="354" t="s">
        <v>158</v>
      </c>
      <c r="B48" s="355" t="s">
        <v>69</v>
      </c>
      <c r="C48" s="327" t="s">
        <v>70</v>
      </c>
      <c r="D48" s="361">
        <f t="shared" si="3"/>
        <v>2.77</v>
      </c>
      <c r="E48" s="356"/>
      <c r="F48" s="356"/>
      <c r="G48" s="356">
        <v>2.77</v>
      </c>
      <c r="I48" s="356"/>
      <c r="J48" s="356"/>
      <c r="K48" s="356"/>
      <c r="L48" s="356"/>
      <c r="M48" s="356"/>
      <c r="N48" s="356"/>
      <c r="O48" s="356"/>
    </row>
    <row r="49" spans="1:15" ht="13.5" customHeight="1">
      <c r="A49" s="354" t="s">
        <v>159</v>
      </c>
      <c r="B49" s="355" t="s">
        <v>52</v>
      </c>
      <c r="C49" s="327" t="s">
        <v>53</v>
      </c>
      <c r="D49" s="361">
        <f t="shared" si="3"/>
        <v>84.14</v>
      </c>
      <c r="E49" s="356"/>
      <c r="F49" s="356">
        <f>3+3</f>
        <v>6</v>
      </c>
      <c r="G49" s="356">
        <f>46.64+5+4</f>
        <v>55.64</v>
      </c>
      <c r="H49" s="357">
        <v>2.2000000000000002</v>
      </c>
      <c r="I49" s="356">
        <v>6.5</v>
      </c>
      <c r="J49" s="356">
        <v>3</v>
      </c>
      <c r="K49" s="357">
        <v>4</v>
      </c>
      <c r="L49" s="362">
        <v>3</v>
      </c>
      <c r="M49" s="356">
        <v>2.1</v>
      </c>
      <c r="N49" s="356">
        <v>1.2</v>
      </c>
      <c r="O49" s="356">
        <v>0.5</v>
      </c>
    </row>
    <row r="50" spans="1:15" ht="15.75">
      <c r="A50" s="368" t="s">
        <v>160</v>
      </c>
      <c r="B50" s="355" t="s">
        <v>54</v>
      </c>
      <c r="C50" s="327" t="s">
        <v>55</v>
      </c>
      <c r="D50" s="361">
        <f t="shared" si="3"/>
        <v>9.8000000000000007</v>
      </c>
      <c r="E50" s="356">
        <v>9.8000000000000007</v>
      </c>
      <c r="F50" s="356"/>
      <c r="G50" s="356"/>
      <c r="H50" s="356"/>
      <c r="I50" s="356"/>
      <c r="J50" s="356"/>
      <c r="K50" s="356"/>
      <c r="L50" s="362"/>
      <c r="M50" s="356"/>
      <c r="N50" s="356"/>
      <c r="O50" s="356"/>
    </row>
    <row r="51" spans="1:15" ht="15.75">
      <c r="A51" s="354" t="s">
        <v>161</v>
      </c>
      <c r="B51" s="355" t="s">
        <v>56</v>
      </c>
      <c r="C51" s="327" t="s">
        <v>57</v>
      </c>
      <c r="D51" s="361">
        <f t="shared" si="3"/>
        <v>1.75</v>
      </c>
      <c r="E51" s="361"/>
      <c r="F51" s="361"/>
      <c r="G51" s="361">
        <v>1.75</v>
      </c>
      <c r="H51" s="361"/>
      <c r="I51" s="358"/>
      <c r="J51" s="358"/>
      <c r="K51" s="358"/>
      <c r="L51" s="358"/>
      <c r="M51" s="358"/>
      <c r="N51" s="358"/>
      <c r="O51" s="358"/>
    </row>
    <row r="52" spans="1:15" ht="31.5">
      <c r="A52" s="354" t="s">
        <v>162</v>
      </c>
      <c r="B52" s="355" t="s">
        <v>58</v>
      </c>
      <c r="C52" s="327" t="s">
        <v>59</v>
      </c>
      <c r="D52" s="361">
        <f t="shared" si="3"/>
        <v>0</v>
      </c>
      <c r="E52" s="361"/>
      <c r="F52" s="361"/>
      <c r="G52" s="361"/>
      <c r="H52" s="361"/>
      <c r="I52" s="358"/>
      <c r="J52" s="358"/>
      <c r="K52" s="358"/>
      <c r="L52" s="358"/>
      <c r="M52" s="358"/>
      <c r="N52" s="358"/>
      <c r="O52" s="358"/>
    </row>
    <row r="53" spans="1:15" ht="31.5">
      <c r="A53" s="354" t="s">
        <v>163</v>
      </c>
      <c r="B53" s="355" t="s">
        <v>60</v>
      </c>
      <c r="C53" s="327" t="s">
        <v>61</v>
      </c>
      <c r="D53" s="361"/>
      <c r="E53" s="361"/>
      <c r="F53" s="361"/>
      <c r="G53" s="361"/>
      <c r="H53" s="361"/>
      <c r="I53" s="358"/>
      <c r="J53" s="358"/>
      <c r="K53" s="358"/>
      <c r="L53" s="358"/>
      <c r="M53" s="358"/>
      <c r="N53" s="358"/>
      <c r="O53" s="357"/>
    </row>
    <row r="54" spans="1:15" ht="15.75">
      <c r="A54" s="354" t="s">
        <v>164</v>
      </c>
      <c r="B54" s="355" t="s">
        <v>71</v>
      </c>
      <c r="C54" s="327" t="s">
        <v>72</v>
      </c>
      <c r="D54" s="361"/>
      <c r="E54" s="356"/>
      <c r="F54" s="356"/>
      <c r="G54" s="356"/>
      <c r="H54" s="369"/>
      <c r="I54" s="370"/>
      <c r="J54" s="370"/>
      <c r="K54" s="356"/>
      <c r="L54" s="362"/>
      <c r="M54" s="358"/>
      <c r="N54" s="370"/>
      <c r="O54" s="356"/>
    </row>
    <row r="55" spans="1:15" ht="15.75">
      <c r="A55" s="354" t="s">
        <v>165</v>
      </c>
      <c r="B55" s="355" t="s">
        <v>181</v>
      </c>
      <c r="C55" s="327" t="s">
        <v>74</v>
      </c>
      <c r="D55" s="361"/>
      <c r="E55" s="356"/>
      <c r="F55" s="357"/>
      <c r="G55" s="356"/>
      <c r="H55" s="357"/>
      <c r="I55" s="356"/>
      <c r="J55" s="356"/>
      <c r="K55" s="357"/>
      <c r="L55" s="356"/>
      <c r="M55" s="356"/>
      <c r="N55" s="356"/>
      <c r="O55" s="358"/>
    </row>
    <row r="56" spans="1:15" ht="31.5">
      <c r="A56" s="354" t="s">
        <v>166</v>
      </c>
      <c r="B56" s="355" t="s">
        <v>75</v>
      </c>
      <c r="C56" s="327" t="s">
        <v>76</v>
      </c>
      <c r="D56" s="361">
        <f>SUM(E56:O56)</f>
        <v>0</v>
      </c>
      <c r="E56" s="356"/>
      <c r="F56" s="356"/>
      <c r="G56" s="356"/>
      <c r="H56" s="356"/>
      <c r="I56" s="356"/>
      <c r="J56" s="356"/>
      <c r="K56" s="356"/>
      <c r="L56" s="356"/>
      <c r="M56" s="356"/>
      <c r="N56" s="356"/>
      <c r="O56" s="356"/>
    </row>
    <row r="57" spans="1:15" s="113" customFormat="1" ht="15.75">
      <c r="A57" s="354" t="s">
        <v>167</v>
      </c>
      <c r="B57" s="355" t="s">
        <v>77</v>
      </c>
      <c r="C57" s="327" t="s">
        <v>78</v>
      </c>
      <c r="D57" s="361">
        <f>SUM(E57:O57)</f>
        <v>13.22</v>
      </c>
      <c r="E57" s="356"/>
      <c r="F57" s="356">
        <v>0.5</v>
      </c>
      <c r="G57" s="356">
        <v>0.15</v>
      </c>
      <c r="H57" s="356">
        <v>8.67</v>
      </c>
      <c r="I57" s="356">
        <v>1</v>
      </c>
      <c r="J57" s="356"/>
      <c r="K57" s="356"/>
      <c r="L57" s="356"/>
      <c r="M57" s="356">
        <v>1.85</v>
      </c>
      <c r="N57" s="356">
        <v>1.05</v>
      </c>
      <c r="O57" s="356"/>
    </row>
    <row r="58" spans="1:15" ht="15.75">
      <c r="A58" s="352">
        <v>3</v>
      </c>
      <c r="B58" s="353" t="s">
        <v>79</v>
      </c>
      <c r="C58" s="326" t="s">
        <v>80</v>
      </c>
      <c r="D58" s="361"/>
      <c r="E58" s="361"/>
      <c r="F58" s="361"/>
      <c r="G58" s="361"/>
      <c r="H58" s="361"/>
      <c r="I58" s="358"/>
      <c r="J58" s="358"/>
      <c r="K58" s="358"/>
      <c r="L58" s="358"/>
      <c r="M58" s="358"/>
      <c r="N58" s="358"/>
      <c r="O58" s="358"/>
    </row>
    <row r="64" spans="1:15">
      <c r="D64" s="346"/>
    </row>
  </sheetData>
  <mergeCells count="7">
    <mergeCell ref="A2:O2"/>
    <mergeCell ref="A3:O3"/>
    <mergeCell ref="A4:A6"/>
    <mergeCell ref="B4:B6"/>
    <mergeCell ref="C4:C6"/>
    <mergeCell ref="D4:D6"/>
    <mergeCell ref="E4:O5"/>
  </mergeCells>
  <pageMargins left="0.56000000000000005" right="0.43" top="0.26" bottom="0.19" header="0.3" footer="0.3"/>
  <pageSetup paperSize="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64"/>
  <sheetViews>
    <sheetView topLeftCell="C6" workbookViewId="0">
      <pane ySplit="1" topLeftCell="A46" activePane="bottomLeft" state="frozen"/>
      <selection activeCell="A6" sqref="A6"/>
      <selection pane="bottomLeft" activeCell="F51" sqref="F51:N51"/>
    </sheetView>
  </sheetViews>
  <sheetFormatPr defaultRowHeight="12.75"/>
  <cols>
    <col min="1" max="1" width="5.5703125" customWidth="1"/>
    <col min="2" max="2" width="36.140625" customWidth="1"/>
    <col min="3" max="3" width="9.28515625" style="330" bestFit="1" customWidth="1"/>
    <col min="4" max="4" width="10.5703125" customWidth="1"/>
    <col min="5" max="5" width="11.42578125" bestFit="1" customWidth="1"/>
    <col min="6" max="6" width="14" customWidth="1"/>
    <col min="7" max="7" width="11.42578125" bestFit="1" customWidth="1"/>
    <col min="8" max="9" width="11.42578125" style="145" bestFit="1" customWidth="1"/>
    <col min="10" max="10" width="12.5703125" style="145" bestFit="1" customWidth="1"/>
    <col min="11" max="12" width="11.42578125" style="145" bestFit="1" customWidth="1"/>
    <col min="13" max="13" width="12.5703125" style="145" bestFit="1" customWidth="1"/>
    <col min="14" max="14" width="11.5703125" style="145" bestFit="1" customWidth="1"/>
    <col min="15" max="15" width="12.5703125" style="145" bestFit="1" customWidth="1"/>
  </cols>
  <sheetData>
    <row r="2" spans="1:17" ht="15.75">
      <c r="A2" s="813" t="s">
        <v>254</v>
      </c>
      <c r="B2" s="813"/>
      <c r="C2" s="813"/>
      <c r="D2" s="813"/>
      <c r="E2" s="813"/>
      <c r="F2" s="813"/>
      <c r="G2" s="813"/>
      <c r="H2" s="813"/>
      <c r="I2" s="813"/>
      <c r="J2" s="813"/>
      <c r="K2" s="813"/>
      <c r="L2" s="813"/>
      <c r="M2" s="813"/>
      <c r="N2" s="813"/>
      <c r="O2" s="813"/>
    </row>
    <row r="3" spans="1:17">
      <c r="A3" s="814" t="s">
        <v>0</v>
      </c>
      <c r="B3" s="814"/>
      <c r="C3" s="814"/>
      <c r="D3" s="814"/>
      <c r="E3" s="814"/>
      <c r="F3" s="814"/>
      <c r="G3" s="814"/>
      <c r="H3" s="814"/>
      <c r="I3" s="814"/>
      <c r="J3" s="814"/>
      <c r="K3" s="814"/>
      <c r="L3" s="814"/>
      <c r="M3" s="814"/>
      <c r="N3" s="814"/>
      <c r="O3" s="814"/>
    </row>
    <row r="4" spans="1:17">
      <c r="A4" s="714" t="s">
        <v>1</v>
      </c>
      <c r="B4" s="714" t="s">
        <v>252</v>
      </c>
      <c r="C4" s="742" t="s">
        <v>3</v>
      </c>
      <c r="D4" s="714" t="s">
        <v>4</v>
      </c>
      <c r="E4" s="714" t="s">
        <v>5</v>
      </c>
      <c r="F4" s="714"/>
      <c r="G4" s="714"/>
      <c r="H4" s="714"/>
      <c r="I4" s="714"/>
      <c r="J4" s="714"/>
      <c r="K4" s="714"/>
      <c r="L4" s="714"/>
      <c r="M4" s="714"/>
      <c r="N4" s="714"/>
      <c r="O4" s="714"/>
    </row>
    <row r="5" spans="1:17">
      <c r="A5" s="714"/>
      <c r="B5" s="714"/>
      <c r="C5" s="742"/>
      <c r="D5" s="714"/>
      <c r="E5" s="714"/>
      <c r="F5" s="714"/>
      <c r="G5" s="714"/>
      <c r="H5" s="714"/>
      <c r="I5" s="714"/>
      <c r="J5" s="714"/>
      <c r="K5" s="714"/>
      <c r="L5" s="714"/>
      <c r="M5" s="714"/>
      <c r="N5" s="714"/>
      <c r="O5" s="714"/>
    </row>
    <row r="6" spans="1:17" ht="28.5">
      <c r="A6" s="714"/>
      <c r="B6" s="714"/>
      <c r="C6" s="742"/>
      <c r="D6" s="714"/>
      <c r="E6" s="13" t="s">
        <v>111</v>
      </c>
      <c r="F6" s="437" t="s">
        <v>190</v>
      </c>
      <c r="G6" s="14" t="s">
        <v>169</v>
      </c>
      <c r="H6" s="14" t="s">
        <v>170</v>
      </c>
      <c r="I6" s="14" t="s">
        <v>172</v>
      </c>
      <c r="J6" s="14" t="s">
        <v>198</v>
      </c>
      <c r="K6" s="14" t="s">
        <v>197</v>
      </c>
      <c r="L6" s="14" t="s">
        <v>191</v>
      </c>
      <c r="M6" s="14" t="s">
        <v>189</v>
      </c>
      <c r="N6" s="14" t="s">
        <v>174</v>
      </c>
      <c r="O6" s="14" t="s">
        <v>173</v>
      </c>
    </row>
    <row r="7" spans="1:17" s="10" customFormat="1" ht="15.75">
      <c r="A7" s="167"/>
      <c r="B7" s="166" t="s">
        <v>248</v>
      </c>
      <c r="C7" s="325"/>
      <c r="D7" s="36">
        <f>D8+D20+D58</f>
        <v>1175.76</v>
      </c>
      <c r="E7" s="36">
        <f>E8+E20+E58</f>
        <v>95.410000000000011</v>
      </c>
      <c r="F7" s="36">
        <f t="shared" ref="F7:O7" si="0">F8+F20+F58</f>
        <v>524.06999999999994</v>
      </c>
      <c r="G7" s="36">
        <f t="shared" si="0"/>
        <v>130.63999999999999</v>
      </c>
      <c r="H7" s="36">
        <f t="shared" si="0"/>
        <v>114.6</v>
      </c>
      <c r="I7" s="36">
        <f t="shared" si="0"/>
        <v>60.31</v>
      </c>
      <c r="J7" s="36">
        <f t="shared" si="0"/>
        <v>16.88</v>
      </c>
      <c r="K7" s="36">
        <f t="shared" si="0"/>
        <v>35.1</v>
      </c>
      <c r="L7" s="36">
        <f t="shared" si="0"/>
        <v>33.92</v>
      </c>
      <c r="M7" s="36">
        <f t="shared" si="0"/>
        <v>27.44</v>
      </c>
      <c r="N7" s="36">
        <f t="shared" si="0"/>
        <v>111.87</v>
      </c>
      <c r="O7" s="36">
        <f t="shared" si="0"/>
        <v>25.52</v>
      </c>
    </row>
    <row r="8" spans="1:17" s="10" customFormat="1" ht="15.75">
      <c r="A8" s="155">
        <v>1</v>
      </c>
      <c r="B8" s="154" t="s">
        <v>6</v>
      </c>
      <c r="C8" s="326" t="s">
        <v>7</v>
      </c>
      <c r="D8" s="36">
        <f>SUM(E8:O8)</f>
        <v>1139.1200000000001</v>
      </c>
      <c r="E8" s="173">
        <f>E9+SUM(E11:E19)</f>
        <v>87.820000000000007</v>
      </c>
      <c r="F8" s="173">
        <f t="shared" ref="F8:O8" si="1">F9+SUM(F11:F19)</f>
        <v>523.91</v>
      </c>
      <c r="G8" s="173">
        <f t="shared" si="1"/>
        <v>126.98999999999998</v>
      </c>
      <c r="H8" s="173">
        <f t="shared" si="1"/>
        <v>113.6</v>
      </c>
      <c r="I8" s="173">
        <f t="shared" si="1"/>
        <v>60.230000000000004</v>
      </c>
      <c r="J8" s="173">
        <f t="shared" si="1"/>
        <v>15.379999999999999</v>
      </c>
      <c r="K8" s="173">
        <f t="shared" si="1"/>
        <v>26.1</v>
      </c>
      <c r="L8" s="173">
        <f t="shared" si="1"/>
        <v>32.92</v>
      </c>
      <c r="M8" s="173">
        <f t="shared" si="1"/>
        <v>27.44</v>
      </c>
      <c r="N8" s="173">
        <f t="shared" si="1"/>
        <v>111.71000000000001</v>
      </c>
      <c r="O8" s="173">
        <f t="shared" si="1"/>
        <v>13.02</v>
      </c>
    </row>
    <row r="9" spans="1:17" ht="15.75">
      <c r="A9" s="159" t="s">
        <v>139</v>
      </c>
      <c r="B9" s="158" t="s">
        <v>8</v>
      </c>
      <c r="C9" s="327" t="s">
        <v>9</v>
      </c>
      <c r="D9" s="157">
        <f t="shared" ref="D9:D39" si="2">SUM(E9:O9)</f>
        <v>9</v>
      </c>
      <c r="E9" s="153">
        <v>3</v>
      </c>
      <c r="F9" s="153"/>
      <c r="G9" s="153"/>
      <c r="H9" s="172">
        <v>0.5</v>
      </c>
      <c r="I9" s="153"/>
      <c r="J9" s="153">
        <v>0.5</v>
      </c>
      <c r="K9" s="153">
        <v>3.5</v>
      </c>
      <c r="L9" s="156"/>
      <c r="M9" s="153"/>
      <c r="N9" s="153">
        <v>1.5</v>
      </c>
      <c r="O9" s="153"/>
    </row>
    <row r="10" spans="1:17" ht="31.5">
      <c r="A10" s="159"/>
      <c r="B10" s="165" t="s">
        <v>10</v>
      </c>
      <c r="C10" s="328" t="s">
        <v>11</v>
      </c>
      <c r="D10" s="157">
        <f t="shared" si="2"/>
        <v>4.7</v>
      </c>
      <c r="E10" s="153">
        <v>2.2000000000000002</v>
      </c>
      <c r="F10" s="153"/>
      <c r="G10" s="153"/>
      <c r="H10" s="172">
        <v>0.5</v>
      </c>
      <c r="I10" s="153"/>
      <c r="J10" s="153"/>
      <c r="K10" s="153">
        <v>2</v>
      </c>
      <c r="L10" s="156"/>
      <c r="M10" s="153"/>
      <c r="N10" s="153"/>
      <c r="O10" s="153"/>
    </row>
    <row r="11" spans="1:17" ht="15.75">
      <c r="A11" s="159" t="s">
        <v>140</v>
      </c>
      <c r="B11" s="158" t="s">
        <v>12</v>
      </c>
      <c r="C11" s="327" t="s">
        <v>13</v>
      </c>
      <c r="D11" s="157">
        <f t="shared" si="2"/>
        <v>679.30000000000007</v>
      </c>
      <c r="E11" s="51">
        <v>25.59</v>
      </c>
      <c r="F11" s="153">
        <v>366.71</v>
      </c>
      <c r="G11" s="153">
        <v>77.459999999999994</v>
      </c>
      <c r="H11" s="172">
        <v>38.78</v>
      </c>
      <c r="I11" s="156">
        <v>42.7</v>
      </c>
      <c r="J11" s="156">
        <v>11.95</v>
      </c>
      <c r="K11" s="153">
        <v>13.6</v>
      </c>
      <c r="L11" s="156">
        <v>30.4</v>
      </c>
      <c r="M11" s="153">
        <f>19.59+0.05</f>
        <v>19.64</v>
      </c>
      <c r="N11" s="153">
        <f>23.4+20</f>
        <v>43.4</v>
      </c>
      <c r="O11" s="153">
        <v>9.07</v>
      </c>
      <c r="P11" s="152"/>
    </row>
    <row r="12" spans="1:17" ht="15.75">
      <c r="A12" s="159" t="s">
        <v>141</v>
      </c>
      <c r="B12" s="158" t="s">
        <v>14</v>
      </c>
      <c r="C12" s="327" t="s">
        <v>15</v>
      </c>
      <c r="D12" s="157">
        <f t="shared" si="2"/>
        <v>361.10999999999996</v>
      </c>
      <c r="E12" s="51">
        <v>57.03</v>
      </c>
      <c r="F12" s="153">
        <v>157.19999999999999</v>
      </c>
      <c r="G12" s="153">
        <v>38.33</v>
      </c>
      <c r="H12" s="172">
        <v>52.32</v>
      </c>
      <c r="I12" s="156">
        <v>17.53</v>
      </c>
      <c r="J12" s="156">
        <v>2.93</v>
      </c>
      <c r="K12" s="153">
        <v>9</v>
      </c>
      <c r="L12" s="156">
        <v>2.52</v>
      </c>
      <c r="M12" s="153">
        <v>7.8</v>
      </c>
      <c r="N12" s="153">
        <v>12.5</v>
      </c>
      <c r="O12" s="153">
        <v>3.95</v>
      </c>
      <c r="Q12" s="152"/>
    </row>
    <row r="13" spans="1:17" ht="15.75">
      <c r="A13" s="159" t="s">
        <v>142</v>
      </c>
      <c r="B13" s="158" t="s">
        <v>16</v>
      </c>
      <c r="C13" s="327" t="s">
        <v>17</v>
      </c>
      <c r="D13" s="157">
        <f t="shared" si="2"/>
        <v>37.36</v>
      </c>
      <c r="E13" s="153"/>
      <c r="F13" s="153"/>
      <c r="G13" s="153">
        <v>0.05</v>
      </c>
      <c r="H13" s="153"/>
      <c r="I13" s="153"/>
      <c r="J13" s="153"/>
      <c r="K13" s="153"/>
      <c r="L13" s="156"/>
      <c r="M13" s="153"/>
      <c r="N13" s="153">
        <v>37.31</v>
      </c>
      <c r="O13" s="153"/>
    </row>
    <row r="14" spans="1:17" ht="15.75">
      <c r="A14" s="159" t="s">
        <v>143</v>
      </c>
      <c r="B14" s="158" t="s">
        <v>18</v>
      </c>
      <c r="C14" s="327" t="s">
        <v>19</v>
      </c>
      <c r="D14" s="157">
        <f t="shared" si="2"/>
        <v>22</v>
      </c>
      <c r="E14" s="153"/>
      <c r="F14" s="153"/>
      <c r="G14" s="157"/>
      <c r="H14" s="157">
        <v>22</v>
      </c>
      <c r="I14" s="156"/>
      <c r="J14" s="156"/>
      <c r="K14" s="153"/>
      <c r="L14" s="156"/>
      <c r="M14" s="156"/>
      <c r="N14" s="153"/>
      <c r="O14" s="156"/>
      <c r="P14" s="152"/>
    </row>
    <row r="15" spans="1:17" ht="15.75">
      <c r="A15" s="159" t="s">
        <v>144</v>
      </c>
      <c r="B15" s="158" t="s">
        <v>20</v>
      </c>
      <c r="C15" s="327" t="s">
        <v>21</v>
      </c>
      <c r="D15" s="157">
        <f t="shared" si="2"/>
        <v>30.05</v>
      </c>
      <c r="E15" s="153">
        <v>2</v>
      </c>
      <c r="F15" s="153"/>
      <c r="G15" s="153">
        <v>11.05</v>
      </c>
      <c r="H15" s="153"/>
      <c r="I15" s="153"/>
      <c r="J15" s="153"/>
      <c r="K15" s="153"/>
      <c r="L15" s="156"/>
      <c r="M15" s="153"/>
      <c r="N15" s="153">
        <v>17</v>
      </c>
      <c r="O15" s="153"/>
    </row>
    <row r="16" spans="1:17" s="119" customFormat="1" ht="31.5">
      <c r="A16" s="331"/>
      <c r="B16" s="165" t="s">
        <v>277</v>
      </c>
      <c r="C16" s="328" t="s">
        <v>281</v>
      </c>
      <c r="D16" s="332">
        <f t="shared" si="2"/>
        <v>0</v>
      </c>
      <c r="E16" s="333"/>
      <c r="F16" s="333"/>
      <c r="G16" s="333"/>
      <c r="H16" s="333"/>
      <c r="I16" s="333"/>
      <c r="J16" s="333"/>
      <c r="K16" s="333"/>
      <c r="L16" s="334"/>
      <c r="M16" s="335"/>
      <c r="N16" s="333"/>
      <c r="O16" s="333"/>
      <c r="P16" s="336"/>
    </row>
    <row r="17" spans="1:17" ht="15.75">
      <c r="A17" s="159" t="s">
        <v>145</v>
      </c>
      <c r="B17" s="158" t="s">
        <v>22</v>
      </c>
      <c r="C17" s="327" t="s">
        <v>23</v>
      </c>
      <c r="D17" s="157">
        <f t="shared" si="2"/>
        <v>0.30000000000000004</v>
      </c>
      <c r="E17" s="157">
        <v>0.2</v>
      </c>
      <c r="F17" s="157"/>
      <c r="G17" s="157">
        <v>0.1</v>
      </c>
      <c r="H17" s="157"/>
      <c r="I17" s="156"/>
      <c r="J17" s="156"/>
      <c r="K17" s="156"/>
      <c r="L17" s="156"/>
      <c r="M17" s="156"/>
      <c r="N17" s="153"/>
      <c r="O17" s="153"/>
    </row>
    <row r="18" spans="1:17" ht="15.75">
      <c r="A18" s="159" t="s">
        <v>146</v>
      </c>
      <c r="B18" s="158" t="s">
        <v>24</v>
      </c>
      <c r="C18" s="327" t="s">
        <v>25</v>
      </c>
      <c r="D18" s="157">
        <f t="shared" si="2"/>
        <v>0</v>
      </c>
      <c r="E18" s="153"/>
      <c r="F18" s="153"/>
      <c r="G18" s="153"/>
      <c r="H18" s="153"/>
      <c r="I18" s="153"/>
      <c r="J18" s="153"/>
      <c r="K18" s="153"/>
      <c r="L18" s="153"/>
      <c r="M18" s="153"/>
      <c r="N18" s="153"/>
      <c r="O18" s="153"/>
      <c r="P18" s="152"/>
      <c r="Q18" s="152"/>
    </row>
    <row r="19" spans="1:17" s="145" customFormat="1" ht="15.75">
      <c r="A19" s="159" t="s">
        <v>147</v>
      </c>
      <c r="B19" s="158" t="s">
        <v>26</v>
      </c>
      <c r="C19" s="327" t="s">
        <v>27</v>
      </c>
      <c r="D19" s="157">
        <f t="shared" si="2"/>
        <v>0</v>
      </c>
      <c r="E19" s="157"/>
      <c r="F19" s="157"/>
      <c r="G19" s="157"/>
      <c r="H19" s="157"/>
      <c r="I19" s="157"/>
      <c r="J19" s="157"/>
      <c r="K19" s="157"/>
      <c r="L19" s="157"/>
      <c r="M19" s="157"/>
      <c r="N19" s="157"/>
      <c r="O19" s="157"/>
    </row>
    <row r="20" spans="1:17" s="10" customFormat="1" ht="15.75">
      <c r="A20" s="155">
        <v>2</v>
      </c>
      <c r="B20" s="154" t="s">
        <v>28</v>
      </c>
      <c r="C20" s="326" t="s">
        <v>29</v>
      </c>
      <c r="D20" s="36">
        <f t="shared" si="2"/>
        <v>21.09</v>
      </c>
      <c r="E20" s="168">
        <f>SUM(E21:E29)+SUM(E46:E57)</f>
        <v>7.59</v>
      </c>
      <c r="F20" s="168">
        <f t="shared" ref="F20:O20" si="3">SUM(F21:F29)+SUM(F46:F57)</f>
        <v>0.16</v>
      </c>
      <c r="G20" s="168">
        <f t="shared" si="3"/>
        <v>2.1</v>
      </c>
      <c r="H20" s="168">
        <f t="shared" si="3"/>
        <v>0</v>
      </c>
      <c r="I20" s="168">
        <f t="shared" si="3"/>
        <v>0.08</v>
      </c>
      <c r="J20" s="168">
        <f t="shared" si="3"/>
        <v>1.5</v>
      </c>
      <c r="K20" s="168">
        <f t="shared" si="3"/>
        <v>9</v>
      </c>
      <c r="L20" s="168">
        <f t="shared" si="3"/>
        <v>0</v>
      </c>
      <c r="M20" s="168">
        <f t="shared" si="3"/>
        <v>0</v>
      </c>
      <c r="N20" s="168">
        <f t="shared" si="3"/>
        <v>0.16</v>
      </c>
      <c r="O20" s="168">
        <f t="shared" si="3"/>
        <v>0.5</v>
      </c>
    </row>
    <row r="21" spans="1:17" ht="15.75">
      <c r="A21" s="159" t="s">
        <v>148</v>
      </c>
      <c r="B21" s="158" t="s">
        <v>30</v>
      </c>
      <c r="C21" s="327" t="s">
        <v>31</v>
      </c>
      <c r="D21" s="157">
        <f t="shared" si="2"/>
        <v>0</v>
      </c>
      <c r="E21" s="153"/>
      <c r="F21" s="153"/>
      <c r="G21" s="153"/>
      <c r="H21" s="153"/>
      <c r="I21" s="153"/>
      <c r="J21" s="153"/>
      <c r="K21" s="153"/>
      <c r="L21" s="153"/>
      <c r="M21" s="153"/>
      <c r="N21" s="153"/>
      <c r="O21" s="153"/>
    </row>
    <row r="22" spans="1:17" ht="15.75">
      <c r="A22" s="159" t="s">
        <v>138</v>
      </c>
      <c r="B22" s="158" t="s">
        <v>32</v>
      </c>
      <c r="C22" s="327" t="s">
        <v>33</v>
      </c>
      <c r="D22" s="157">
        <f t="shared" si="2"/>
        <v>0</v>
      </c>
      <c r="E22" s="153"/>
      <c r="F22" s="153"/>
      <c r="G22" s="153"/>
      <c r="H22" s="153"/>
      <c r="I22" s="153"/>
      <c r="J22" s="153"/>
      <c r="K22" s="153"/>
      <c r="L22" s="153"/>
      <c r="M22" s="153"/>
      <c r="N22" s="153"/>
      <c r="O22" s="153"/>
    </row>
    <row r="23" spans="1:17" ht="15.75">
      <c r="A23" s="159" t="s">
        <v>149</v>
      </c>
      <c r="B23" s="158" t="s">
        <v>34</v>
      </c>
      <c r="C23" s="327" t="s">
        <v>35</v>
      </c>
      <c r="D23" s="157">
        <f t="shared" si="2"/>
        <v>0</v>
      </c>
      <c r="E23" s="157"/>
      <c r="F23" s="157"/>
      <c r="G23" s="157"/>
      <c r="H23" s="157"/>
      <c r="I23" s="156"/>
      <c r="J23" s="156"/>
      <c r="K23" s="156"/>
      <c r="L23" s="156"/>
      <c r="M23" s="156"/>
      <c r="N23" s="156"/>
      <c r="O23" s="156"/>
    </row>
    <row r="24" spans="1:17" ht="15.75">
      <c r="A24" s="159" t="s">
        <v>150</v>
      </c>
      <c r="B24" s="158" t="s">
        <v>36</v>
      </c>
      <c r="C24" s="327" t="s">
        <v>37</v>
      </c>
      <c r="D24" s="157">
        <f t="shared" si="2"/>
        <v>0</v>
      </c>
      <c r="E24" s="153"/>
      <c r="F24" s="153"/>
      <c r="G24" s="153"/>
      <c r="H24" s="153"/>
      <c r="I24" s="153"/>
      <c r="J24" s="153"/>
      <c r="K24" s="153"/>
      <c r="L24" s="153"/>
      <c r="M24" s="153"/>
      <c r="N24" s="153"/>
      <c r="O24" s="153"/>
    </row>
    <row r="25" spans="1:17" ht="15.75">
      <c r="A25" s="159" t="s">
        <v>151</v>
      </c>
      <c r="B25" s="158" t="s">
        <v>38</v>
      </c>
      <c r="C25" s="327" t="s">
        <v>39</v>
      </c>
      <c r="D25" s="157">
        <f t="shared" si="2"/>
        <v>0</v>
      </c>
      <c r="E25" s="157"/>
      <c r="F25" s="157"/>
      <c r="G25" s="157"/>
      <c r="H25" s="157"/>
      <c r="I25" s="156"/>
      <c r="J25" s="156"/>
      <c r="K25" s="156"/>
      <c r="L25" s="156"/>
      <c r="M25" s="156"/>
      <c r="N25" s="156"/>
      <c r="O25" s="156"/>
    </row>
    <row r="26" spans="1:17" ht="15.75">
      <c r="A26" s="159" t="s">
        <v>152</v>
      </c>
      <c r="B26" s="158" t="s">
        <v>40</v>
      </c>
      <c r="C26" s="327" t="s">
        <v>41</v>
      </c>
      <c r="D26" s="157">
        <f t="shared" si="2"/>
        <v>0</v>
      </c>
      <c r="E26" s="157"/>
      <c r="F26" s="157"/>
      <c r="G26" s="157"/>
      <c r="H26" s="172"/>
      <c r="I26" s="156"/>
      <c r="J26" s="156"/>
      <c r="K26" s="156"/>
      <c r="L26" s="156"/>
      <c r="M26" s="156"/>
      <c r="N26" s="156"/>
      <c r="O26" s="153"/>
    </row>
    <row r="27" spans="1:17" ht="15.75">
      <c r="A27" s="159" t="s">
        <v>153</v>
      </c>
      <c r="B27" s="158" t="s">
        <v>42</v>
      </c>
      <c r="C27" s="327" t="s">
        <v>43</v>
      </c>
      <c r="D27" s="157">
        <f t="shared" si="2"/>
        <v>0</v>
      </c>
      <c r="E27" s="153"/>
      <c r="F27" s="153"/>
      <c r="G27" s="153"/>
      <c r="H27" s="153"/>
      <c r="I27" s="153"/>
      <c r="J27" s="153"/>
      <c r="K27" s="153"/>
      <c r="L27" s="153"/>
      <c r="M27" s="153"/>
      <c r="N27" s="153"/>
      <c r="O27" s="153"/>
    </row>
    <row r="28" spans="1:17" ht="15.75">
      <c r="A28" s="159" t="s">
        <v>154</v>
      </c>
      <c r="B28" s="158" t="s">
        <v>179</v>
      </c>
      <c r="C28" s="327" t="s">
        <v>66</v>
      </c>
      <c r="D28" s="157">
        <f t="shared" si="2"/>
        <v>0</v>
      </c>
      <c r="E28" s="153"/>
      <c r="F28" s="153"/>
      <c r="G28" s="153"/>
      <c r="H28" s="153"/>
      <c r="I28" s="153"/>
      <c r="J28" s="153"/>
      <c r="K28" s="153"/>
      <c r="L28" s="153"/>
      <c r="M28" s="153"/>
      <c r="N28" s="153"/>
      <c r="O28" s="153"/>
    </row>
    <row r="29" spans="1:17" s="341" customFormat="1" ht="15.75">
      <c r="A29" s="337" t="s">
        <v>155</v>
      </c>
      <c r="B29" s="338" t="s">
        <v>180</v>
      </c>
      <c r="C29" s="339" t="s">
        <v>45</v>
      </c>
      <c r="D29" s="260">
        <f t="shared" si="2"/>
        <v>0.06</v>
      </c>
      <c r="E29" s="88">
        <f>SUM(E30:E45)</f>
        <v>0</v>
      </c>
      <c r="F29" s="88">
        <f t="shared" ref="F29:O29" si="4">SUM(F30:F45)</f>
        <v>0.06</v>
      </c>
      <c r="G29" s="88">
        <f t="shared" si="4"/>
        <v>0</v>
      </c>
      <c r="H29" s="88">
        <f t="shared" si="4"/>
        <v>0</v>
      </c>
      <c r="I29" s="88">
        <f t="shared" si="4"/>
        <v>0</v>
      </c>
      <c r="J29" s="88">
        <f t="shared" si="4"/>
        <v>0</v>
      </c>
      <c r="K29" s="88">
        <f t="shared" si="4"/>
        <v>0</v>
      </c>
      <c r="L29" s="88">
        <f t="shared" si="4"/>
        <v>0</v>
      </c>
      <c r="M29" s="88">
        <f t="shared" si="4"/>
        <v>0</v>
      </c>
      <c r="N29" s="88">
        <f t="shared" si="4"/>
        <v>0</v>
      </c>
      <c r="O29" s="88">
        <f t="shared" si="4"/>
        <v>0</v>
      </c>
      <c r="P29" s="340"/>
    </row>
    <row r="30" spans="1:17" s="161" customFormat="1" ht="15.75">
      <c r="A30" s="164"/>
      <c r="B30" s="163" t="s">
        <v>228</v>
      </c>
      <c r="C30" s="329" t="s">
        <v>196</v>
      </c>
      <c r="D30" s="108">
        <f t="shared" si="2"/>
        <v>0</v>
      </c>
      <c r="E30" s="108"/>
      <c r="F30" s="108"/>
      <c r="G30" s="108"/>
      <c r="H30" s="108"/>
      <c r="I30" s="108"/>
      <c r="J30" s="108"/>
      <c r="K30" s="108"/>
      <c r="L30" s="108"/>
      <c r="M30" s="108"/>
      <c r="N30" s="108"/>
      <c r="O30" s="108"/>
      <c r="P30" s="162"/>
    </row>
    <row r="31" spans="1:17" s="161" customFormat="1" ht="15.75">
      <c r="A31" s="164"/>
      <c r="B31" s="163" t="s">
        <v>229</v>
      </c>
      <c r="C31" s="329" t="s">
        <v>194</v>
      </c>
      <c r="D31" s="108">
        <f t="shared" si="2"/>
        <v>0</v>
      </c>
      <c r="E31" s="108"/>
      <c r="F31" s="108"/>
      <c r="G31" s="108"/>
      <c r="H31" s="108"/>
      <c r="I31" s="108"/>
      <c r="J31" s="108"/>
      <c r="K31" s="108"/>
      <c r="L31" s="108"/>
      <c r="M31" s="108"/>
      <c r="N31" s="108"/>
      <c r="O31" s="108"/>
      <c r="P31" s="162"/>
    </row>
    <row r="32" spans="1:17" s="161" customFormat="1" ht="15.75">
      <c r="A32" s="164"/>
      <c r="B32" s="163" t="s">
        <v>222</v>
      </c>
      <c r="C32" s="329" t="s">
        <v>232</v>
      </c>
      <c r="D32" s="108">
        <f t="shared" si="2"/>
        <v>0</v>
      </c>
      <c r="E32" s="108"/>
      <c r="F32" s="108"/>
      <c r="G32" s="108"/>
      <c r="H32" s="108"/>
      <c r="I32" s="108"/>
      <c r="J32" s="108"/>
      <c r="K32" s="108"/>
      <c r="L32" s="108"/>
      <c r="M32" s="108"/>
      <c r="N32" s="108"/>
      <c r="O32" s="108"/>
      <c r="P32" s="162"/>
    </row>
    <row r="33" spans="1:17" s="161" customFormat="1" ht="15.75">
      <c r="A33" s="164"/>
      <c r="B33" s="163" t="s">
        <v>223</v>
      </c>
      <c r="C33" s="329" t="s">
        <v>233</v>
      </c>
      <c r="D33" s="108">
        <f t="shared" si="2"/>
        <v>0</v>
      </c>
      <c r="E33" s="108"/>
      <c r="F33" s="108"/>
      <c r="G33" s="108"/>
      <c r="H33" s="108"/>
      <c r="I33" s="108"/>
      <c r="J33" s="108"/>
      <c r="K33" s="108"/>
      <c r="L33" s="108"/>
      <c r="M33" s="108"/>
      <c r="N33" s="108"/>
      <c r="O33" s="108"/>
      <c r="P33" s="162"/>
    </row>
    <row r="34" spans="1:17" s="161" customFormat="1" ht="15.75">
      <c r="A34" s="164"/>
      <c r="B34" s="163" t="s">
        <v>224</v>
      </c>
      <c r="C34" s="329" t="s">
        <v>192</v>
      </c>
      <c r="D34" s="108">
        <f t="shared" si="2"/>
        <v>0.06</v>
      </c>
      <c r="E34" s="108"/>
      <c r="F34" s="108">
        <v>0.06</v>
      </c>
      <c r="G34" s="108"/>
      <c r="H34" s="108"/>
      <c r="I34" s="108"/>
      <c r="J34" s="108"/>
      <c r="K34" s="108"/>
      <c r="L34" s="108"/>
      <c r="M34" s="108"/>
      <c r="N34" s="108"/>
      <c r="O34" s="108"/>
      <c r="P34" s="162"/>
    </row>
    <row r="35" spans="1:17" s="161" customFormat="1" ht="15.75">
      <c r="A35" s="164"/>
      <c r="B35" s="163" t="s">
        <v>225</v>
      </c>
      <c r="C35" s="329" t="s">
        <v>195</v>
      </c>
      <c r="D35" s="108">
        <f t="shared" si="2"/>
        <v>0</v>
      </c>
      <c r="E35" s="108"/>
      <c r="F35" s="108"/>
      <c r="G35" s="108"/>
      <c r="H35" s="108"/>
      <c r="I35" s="108"/>
      <c r="J35" s="108"/>
      <c r="K35" s="108"/>
      <c r="L35" s="108"/>
      <c r="M35" s="108"/>
      <c r="N35" s="108"/>
      <c r="O35" s="108"/>
      <c r="P35" s="162"/>
    </row>
    <row r="36" spans="1:17" s="161" customFormat="1" ht="15.75">
      <c r="A36" s="164"/>
      <c r="B36" s="163" t="s">
        <v>282</v>
      </c>
      <c r="C36" s="329" t="s">
        <v>193</v>
      </c>
      <c r="D36" s="108">
        <f t="shared" si="2"/>
        <v>0</v>
      </c>
      <c r="E36" s="108"/>
      <c r="F36" s="108"/>
      <c r="G36" s="108"/>
      <c r="H36" s="108"/>
      <c r="I36" s="108"/>
      <c r="J36" s="108"/>
      <c r="K36" s="108"/>
      <c r="L36" s="108"/>
      <c r="M36" s="108"/>
      <c r="N36" s="108"/>
      <c r="O36" s="108"/>
      <c r="P36" s="162"/>
    </row>
    <row r="37" spans="1:17" s="161" customFormat="1" ht="15.75">
      <c r="A37" s="164"/>
      <c r="B37" s="163" t="s">
        <v>230</v>
      </c>
      <c r="C37" s="329" t="s">
        <v>236</v>
      </c>
      <c r="D37" s="108">
        <f t="shared" si="2"/>
        <v>0</v>
      </c>
      <c r="E37" s="108"/>
      <c r="F37" s="108"/>
      <c r="G37" s="108"/>
      <c r="H37" s="108"/>
      <c r="I37" s="108"/>
      <c r="J37" s="108"/>
      <c r="K37" s="108"/>
      <c r="L37" s="108"/>
      <c r="M37" s="108"/>
      <c r="N37" s="108"/>
      <c r="O37" s="108"/>
      <c r="P37" s="162"/>
    </row>
    <row r="38" spans="1:17" s="161" customFormat="1" ht="15.75">
      <c r="A38" s="164"/>
      <c r="B38" s="163" t="s">
        <v>278</v>
      </c>
      <c r="C38" s="329" t="s">
        <v>279</v>
      </c>
      <c r="D38" s="108">
        <f t="shared" si="2"/>
        <v>0</v>
      </c>
      <c r="E38" s="108"/>
      <c r="F38" s="108"/>
      <c r="G38" s="108"/>
      <c r="H38" s="108"/>
      <c r="I38" s="108"/>
      <c r="J38" s="108"/>
      <c r="K38" s="108"/>
      <c r="L38" s="108"/>
      <c r="M38" s="108"/>
      <c r="N38" s="108"/>
      <c r="O38" s="108"/>
      <c r="P38" s="162"/>
    </row>
    <row r="39" spans="1:17" s="161" customFormat="1" ht="15.75">
      <c r="A39" s="164"/>
      <c r="B39" s="163" t="s">
        <v>46</v>
      </c>
      <c r="C39" s="329" t="s">
        <v>47</v>
      </c>
      <c r="D39" s="108">
        <f t="shared" si="2"/>
        <v>0</v>
      </c>
      <c r="E39" s="108"/>
      <c r="F39" s="108"/>
      <c r="G39" s="108"/>
      <c r="H39" s="108"/>
      <c r="I39" s="108"/>
      <c r="J39" s="108"/>
      <c r="K39" s="108"/>
      <c r="L39" s="108"/>
      <c r="M39" s="108"/>
      <c r="N39" s="108"/>
      <c r="O39" s="108"/>
      <c r="P39" s="162"/>
    </row>
    <row r="40" spans="1:17" s="119" customFormat="1" ht="19.5" customHeight="1">
      <c r="A40" s="342"/>
      <c r="B40" s="165" t="s">
        <v>50</v>
      </c>
      <c r="C40" s="328" t="s">
        <v>51</v>
      </c>
      <c r="D40" s="332">
        <f t="shared" ref="D40:D58" si="5">SUM(E40:O40)</f>
        <v>0</v>
      </c>
      <c r="E40" s="333"/>
      <c r="F40" s="333"/>
      <c r="G40" s="333"/>
      <c r="H40" s="333"/>
      <c r="I40" s="333"/>
      <c r="J40" s="333"/>
      <c r="K40" s="333"/>
      <c r="L40" s="333"/>
      <c r="M40" s="333"/>
      <c r="N40" s="333"/>
      <c r="O40" s="333"/>
    </row>
    <row r="41" spans="1:17" s="119" customFormat="1" ht="15.75">
      <c r="A41" s="331"/>
      <c r="B41" s="165" t="s">
        <v>62</v>
      </c>
      <c r="C41" s="328" t="s">
        <v>63</v>
      </c>
      <c r="D41" s="332">
        <f t="shared" si="5"/>
        <v>0</v>
      </c>
      <c r="E41" s="343"/>
      <c r="F41" s="343"/>
      <c r="G41" s="343"/>
      <c r="H41" s="343"/>
      <c r="I41" s="333"/>
      <c r="J41" s="333"/>
      <c r="K41" s="333"/>
      <c r="L41" s="333"/>
      <c r="M41" s="333"/>
      <c r="N41" s="333"/>
      <c r="O41" s="333"/>
    </row>
    <row r="42" spans="1:17" s="119" customFormat="1" ht="31.5">
      <c r="A42" s="331"/>
      <c r="B42" s="165" t="s">
        <v>280</v>
      </c>
      <c r="C42" s="328" t="s">
        <v>64</v>
      </c>
      <c r="D42" s="332">
        <f t="shared" si="5"/>
        <v>0</v>
      </c>
      <c r="E42" s="333"/>
      <c r="F42" s="333"/>
      <c r="G42" s="333"/>
      <c r="H42" s="333"/>
      <c r="I42" s="333"/>
      <c r="J42" s="333"/>
      <c r="K42" s="333"/>
      <c r="L42" s="333"/>
      <c r="M42" s="333"/>
      <c r="N42" s="333"/>
      <c r="O42" s="333"/>
      <c r="Q42" s="428"/>
    </row>
    <row r="43" spans="1:17" s="119" customFormat="1" ht="31.5">
      <c r="A43" s="331"/>
      <c r="B43" s="165" t="s">
        <v>226</v>
      </c>
      <c r="C43" s="328" t="s">
        <v>234</v>
      </c>
      <c r="D43" s="332">
        <f t="shared" si="5"/>
        <v>0</v>
      </c>
      <c r="E43" s="333"/>
      <c r="F43" s="333"/>
      <c r="G43" s="333"/>
      <c r="H43" s="333"/>
      <c r="I43" s="333"/>
      <c r="J43" s="333"/>
      <c r="K43" s="333"/>
      <c r="L43" s="333"/>
      <c r="M43" s="333"/>
      <c r="N43" s="333"/>
      <c r="O43" s="333"/>
    </row>
    <row r="44" spans="1:17" s="119" customFormat="1" ht="15.75">
      <c r="A44" s="331"/>
      <c r="B44" s="165" t="s">
        <v>227</v>
      </c>
      <c r="C44" s="328" t="s">
        <v>235</v>
      </c>
      <c r="D44" s="332">
        <f t="shared" si="5"/>
        <v>0</v>
      </c>
      <c r="E44" s="333"/>
      <c r="F44" s="333"/>
      <c r="G44" s="333"/>
      <c r="H44" s="333"/>
      <c r="I44" s="333"/>
      <c r="J44" s="333"/>
      <c r="K44" s="333"/>
      <c r="L44" s="333"/>
      <c r="M44" s="333"/>
      <c r="N44" s="333"/>
      <c r="O44" s="333"/>
    </row>
    <row r="45" spans="1:17" s="119" customFormat="1" ht="15.75">
      <c r="A45" s="331"/>
      <c r="B45" s="165" t="s">
        <v>231</v>
      </c>
      <c r="C45" s="328" t="s">
        <v>206</v>
      </c>
      <c r="D45" s="332">
        <f t="shared" si="5"/>
        <v>0</v>
      </c>
      <c r="E45" s="333"/>
      <c r="F45" s="333"/>
      <c r="G45" s="333"/>
      <c r="H45" s="344"/>
      <c r="I45" s="333"/>
      <c r="J45" s="333"/>
      <c r="K45" s="333"/>
      <c r="L45" s="335"/>
      <c r="M45" s="333"/>
      <c r="N45" s="333"/>
      <c r="O45" s="333"/>
    </row>
    <row r="46" spans="1:17" ht="15.75">
      <c r="A46" s="159" t="s">
        <v>156</v>
      </c>
      <c r="B46" s="158" t="s">
        <v>48</v>
      </c>
      <c r="C46" s="327" t="s">
        <v>49</v>
      </c>
      <c r="D46" s="157">
        <f t="shared" si="5"/>
        <v>0</v>
      </c>
      <c r="E46" s="157"/>
      <c r="F46" s="157"/>
      <c r="G46" s="157"/>
      <c r="H46" s="157"/>
      <c r="I46" s="156"/>
      <c r="J46" s="156"/>
      <c r="K46" s="156"/>
      <c r="L46" s="156"/>
      <c r="M46" s="156"/>
      <c r="N46" s="156"/>
      <c r="O46" s="156"/>
    </row>
    <row r="47" spans="1:17" ht="15.75">
      <c r="A47" s="159" t="s">
        <v>157</v>
      </c>
      <c r="B47" s="158" t="s">
        <v>67</v>
      </c>
      <c r="C47" s="327" t="s">
        <v>68</v>
      </c>
      <c r="D47" s="157">
        <f t="shared" si="5"/>
        <v>0</v>
      </c>
      <c r="E47" s="157"/>
      <c r="F47" s="157"/>
      <c r="G47" s="157"/>
      <c r="H47" s="157"/>
      <c r="I47" s="156"/>
      <c r="J47" s="156"/>
      <c r="K47" s="156"/>
      <c r="L47" s="156"/>
      <c r="M47" s="156"/>
      <c r="N47" s="156"/>
      <c r="O47" s="156"/>
    </row>
    <row r="48" spans="1:17" ht="15.75">
      <c r="A48" s="159" t="s">
        <v>158</v>
      </c>
      <c r="B48" s="158" t="s">
        <v>69</v>
      </c>
      <c r="C48" s="327" t="s">
        <v>70</v>
      </c>
      <c r="D48" s="157">
        <f t="shared" si="5"/>
        <v>0</v>
      </c>
      <c r="E48" s="153"/>
      <c r="F48" s="153"/>
      <c r="G48" s="153"/>
      <c r="H48" s="153"/>
      <c r="I48" s="153"/>
      <c r="J48" s="153"/>
      <c r="K48" s="153"/>
      <c r="L48" s="153"/>
      <c r="M48" s="153"/>
      <c r="N48" s="153"/>
      <c r="O48" s="153"/>
    </row>
    <row r="49" spans="1:15" ht="15.75">
      <c r="A49" s="159" t="s">
        <v>159</v>
      </c>
      <c r="B49" s="158" t="s">
        <v>52</v>
      </c>
      <c r="C49" s="327" t="s">
        <v>53</v>
      </c>
      <c r="D49" s="157">
        <f t="shared" si="5"/>
        <v>0.6</v>
      </c>
      <c r="E49" s="153"/>
      <c r="F49" s="153"/>
      <c r="G49" s="153">
        <v>0.1</v>
      </c>
      <c r="H49" s="172"/>
      <c r="I49" s="153"/>
      <c r="J49" s="153"/>
      <c r="K49" s="169"/>
      <c r="L49" s="171"/>
      <c r="M49" s="153"/>
      <c r="N49" s="153"/>
      <c r="O49" s="153">
        <v>0.5</v>
      </c>
    </row>
    <row r="50" spans="1:15" ht="15.75">
      <c r="A50" s="160" t="s">
        <v>160</v>
      </c>
      <c r="B50" s="158" t="s">
        <v>54</v>
      </c>
      <c r="C50" s="327" t="s">
        <v>55</v>
      </c>
      <c r="D50" s="157">
        <f t="shared" si="5"/>
        <v>5.19</v>
      </c>
      <c r="E50" s="153">
        <v>5.19</v>
      </c>
      <c r="F50" s="153"/>
      <c r="G50" s="153"/>
      <c r="H50" s="153"/>
      <c r="I50" s="153"/>
      <c r="J50" s="153"/>
      <c r="K50" s="153"/>
      <c r="L50" s="171"/>
      <c r="M50" s="153"/>
      <c r="N50" s="153"/>
      <c r="O50" s="153"/>
    </row>
    <row r="51" spans="1:15" ht="15.75">
      <c r="A51" s="159" t="s">
        <v>161</v>
      </c>
      <c r="B51" s="158" t="s">
        <v>56</v>
      </c>
      <c r="C51" s="327" t="s">
        <v>57</v>
      </c>
      <c r="D51" s="157">
        <f t="shared" si="5"/>
        <v>2.74</v>
      </c>
      <c r="E51" s="157">
        <v>2.4</v>
      </c>
      <c r="F51" s="157">
        <v>0.1</v>
      </c>
      <c r="G51" s="157"/>
      <c r="H51" s="157"/>
      <c r="I51" s="156">
        <v>0.08</v>
      </c>
      <c r="J51" s="156"/>
      <c r="K51" s="156"/>
      <c r="L51" s="156"/>
      <c r="M51" s="156"/>
      <c r="N51" s="156">
        <v>0.16</v>
      </c>
      <c r="O51" s="156"/>
    </row>
    <row r="52" spans="1:15" ht="31.5">
      <c r="A52" s="159" t="s">
        <v>162</v>
      </c>
      <c r="B52" s="158" t="s">
        <v>58</v>
      </c>
      <c r="C52" s="327" t="s">
        <v>59</v>
      </c>
      <c r="D52" s="157">
        <f t="shared" si="5"/>
        <v>0</v>
      </c>
      <c r="E52" s="157"/>
      <c r="F52" s="157"/>
      <c r="G52" s="157"/>
      <c r="H52" s="157"/>
      <c r="I52" s="156"/>
      <c r="J52" s="156"/>
      <c r="K52" s="156"/>
      <c r="L52" s="156"/>
      <c r="M52" s="156"/>
      <c r="N52" s="156"/>
      <c r="O52" s="156"/>
    </row>
    <row r="53" spans="1:15" ht="15.75">
      <c r="A53" s="159" t="s">
        <v>163</v>
      </c>
      <c r="B53" s="158" t="s">
        <v>60</v>
      </c>
      <c r="C53" s="327" t="s">
        <v>61</v>
      </c>
      <c r="D53" s="157">
        <f t="shared" si="5"/>
        <v>0</v>
      </c>
      <c r="E53" s="157"/>
      <c r="F53" s="157"/>
      <c r="G53" s="157"/>
      <c r="H53" s="157"/>
      <c r="I53" s="156"/>
      <c r="J53" s="156"/>
      <c r="K53" s="156"/>
      <c r="L53" s="156"/>
      <c r="M53" s="156"/>
      <c r="N53" s="156"/>
      <c r="O53" s="169"/>
    </row>
    <row r="54" spans="1:15" ht="15.75">
      <c r="A54" s="159" t="s">
        <v>164</v>
      </c>
      <c r="B54" s="158" t="s">
        <v>71</v>
      </c>
      <c r="C54" s="327" t="s">
        <v>72</v>
      </c>
      <c r="D54" s="345">
        <f t="shared" si="5"/>
        <v>0</v>
      </c>
      <c r="E54" s="153"/>
      <c r="F54" s="153"/>
      <c r="G54" s="153"/>
      <c r="H54" s="153"/>
      <c r="I54" s="153"/>
      <c r="J54" s="153"/>
      <c r="K54" s="153"/>
      <c r="L54" s="171"/>
      <c r="M54" s="156"/>
      <c r="N54" s="170"/>
      <c r="O54" s="170"/>
    </row>
    <row r="55" spans="1:15" ht="15.75">
      <c r="A55" s="159" t="s">
        <v>165</v>
      </c>
      <c r="B55" s="158" t="s">
        <v>181</v>
      </c>
      <c r="C55" s="327" t="s">
        <v>74</v>
      </c>
      <c r="D55" s="345">
        <f t="shared" si="5"/>
        <v>12.5</v>
      </c>
      <c r="E55" s="153"/>
      <c r="F55" s="169"/>
      <c r="G55" s="153">
        <v>2</v>
      </c>
      <c r="H55" s="169"/>
      <c r="I55" s="153"/>
      <c r="J55" s="153">
        <v>1.5</v>
      </c>
      <c r="K55" s="169">
        <v>9</v>
      </c>
      <c r="L55" s="153"/>
      <c r="M55" s="153"/>
      <c r="N55" s="153"/>
      <c r="O55" s="156"/>
    </row>
    <row r="56" spans="1:15" ht="15.75">
      <c r="A56" s="159" t="s">
        <v>166</v>
      </c>
      <c r="B56" s="158" t="s">
        <v>75</v>
      </c>
      <c r="C56" s="327" t="s">
        <v>76</v>
      </c>
      <c r="D56" s="345">
        <f t="shared" si="5"/>
        <v>0</v>
      </c>
      <c r="E56" s="153"/>
      <c r="F56" s="153"/>
      <c r="G56" s="153"/>
      <c r="H56" s="153"/>
      <c r="I56" s="153"/>
      <c r="J56" s="153"/>
      <c r="K56" s="153"/>
      <c r="L56" s="153"/>
      <c r="M56" s="153"/>
      <c r="N56" s="153"/>
      <c r="O56" s="153"/>
    </row>
    <row r="57" spans="1:15" s="145" customFormat="1" ht="15.75">
      <c r="A57" s="159" t="s">
        <v>167</v>
      </c>
      <c r="B57" s="158" t="s">
        <v>77</v>
      </c>
      <c r="C57" s="327" t="s">
        <v>78</v>
      </c>
      <c r="D57" s="345">
        <f t="shared" si="5"/>
        <v>0</v>
      </c>
      <c r="E57" s="153"/>
      <c r="F57" s="153"/>
      <c r="G57" s="153"/>
      <c r="H57" s="153"/>
      <c r="I57" s="153"/>
      <c r="J57" s="153"/>
      <c r="K57" s="153"/>
      <c r="L57" s="153"/>
      <c r="M57" s="153"/>
      <c r="N57" s="153"/>
      <c r="O57" s="153"/>
    </row>
    <row r="58" spans="1:15" s="10" customFormat="1" ht="15.75">
      <c r="A58" s="155">
        <v>3</v>
      </c>
      <c r="B58" s="154" t="s">
        <v>79</v>
      </c>
      <c r="C58" s="326" t="s">
        <v>80</v>
      </c>
      <c r="D58" s="36">
        <f t="shared" si="5"/>
        <v>15.55</v>
      </c>
      <c r="E58" s="36"/>
      <c r="F58" s="36"/>
      <c r="G58" s="36">
        <v>1.55</v>
      </c>
      <c r="H58" s="36">
        <v>1</v>
      </c>
      <c r="I58" s="384"/>
      <c r="J58" s="384"/>
      <c r="K58" s="384"/>
      <c r="L58" s="384">
        <v>1</v>
      </c>
      <c r="M58" s="384"/>
      <c r="N58" s="384"/>
      <c r="O58" s="384">
        <v>12</v>
      </c>
    </row>
    <row r="64" spans="1:15">
      <c r="E64" s="152">
        <f>'CÔng Tăng'!E7-'Cộng giảm'!E7</f>
        <v>0</v>
      </c>
      <c r="F64" s="152">
        <f>'CÔng Tăng'!F7-'Cộng giảm'!F7</f>
        <v>0</v>
      </c>
      <c r="G64" s="152">
        <f>'CÔng Tăng'!G7-'Cộng giảm'!G7</f>
        <v>0</v>
      </c>
      <c r="H64" s="152">
        <f>'CÔng Tăng'!H7-'Cộng giảm'!H7</f>
        <v>0</v>
      </c>
      <c r="I64" s="152">
        <f>'CÔng Tăng'!I7-'Cộng giảm'!I7</f>
        <v>0</v>
      </c>
      <c r="J64" s="152">
        <f>'CÔng Tăng'!J7-'Cộng giảm'!J7</f>
        <v>0</v>
      </c>
      <c r="K64" s="152">
        <f>'CÔng Tăng'!K7-'Cộng giảm'!K7</f>
        <v>0</v>
      </c>
      <c r="L64" s="152">
        <f>'CÔng Tăng'!L7-'Cộng giảm'!L7</f>
        <v>0</v>
      </c>
      <c r="M64" s="152">
        <f>'CÔng Tăng'!M7-'Cộng giảm'!M7</f>
        <v>0</v>
      </c>
      <c r="N64" s="152">
        <f>'CÔng Tăng'!N7-'Cộng giảm'!N7</f>
        <v>0</v>
      </c>
      <c r="O64" s="152">
        <f>'CÔng Tăng'!O7-'Cộng giảm'!O7</f>
        <v>0</v>
      </c>
    </row>
  </sheetData>
  <mergeCells count="7">
    <mergeCell ref="A2:O2"/>
    <mergeCell ref="A3:O3"/>
    <mergeCell ref="A4:A6"/>
    <mergeCell ref="B4:B6"/>
    <mergeCell ref="C4:C6"/>
    <mergeCell ref="D4:D6"/>
    <mergeCell ref="E4:O5"/>
  </mergeCells>
  <pageMargins left="0.7" right="0.7" top="0.2" bottom="0.32" header="0.3" footer="0.3"/>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7"/>
  <sheetViews>
    <sheetView topLeftCell="A13" workbookViewId="0">
      <selection activeCell="B16" sqref="B16:C22"/>
    </sheetView>
  </sheetViews>
  <sheetFormatPr defaultRowHeight="12.75"/>
  <cols>
    <col min="1" max="1" width="47.5703125" customWidth="1"/>
    <col min="2" max="2" width="18.140625" customWidth="1"/>
    <col min="3" max="3" width="18.7109375" customWidth="1"/>
    <col min="7" max="7" width="11" bestFit="1" customWidth="1"/>
    <col min="9" max="9" width="31.7109375" customWidth="1"/>
    <col min="10" max="10" width="18.140625" customWidth="1"/>
    <col min="15" max="15" width="11.28515625" bestFit="1" customWidth="1"/>
  </cols>
  <sheetData>
    <row r="1" spans="1:15" ht="13.5" thickBot="1"/>
    <row r="2" spans="1:15" ht="44.25" customHeight="1" thickBot="1">
      <c r="A2" s="200"/>
      <c r="B2" s="201" t="s">
        <v>122</v>
      </c>
      <c r="C2" s="209" t="s">
        <v>257</v>
      </c>
    </row>
    <row r="3" spans="1:15" ht="18.75" customHeight="1" thickBot="1">
      <c r="A3" s="202" t="s">
        <v>261</v>
      </c>
      <c r="B3" s="205"/>
      <c r="C3" s="206"/>
    </row>
    <row r="4" spans="1:15" ht="17.25" customHeight="1" thickBot="1">
      <c r="A4" s="203" t="s">
        <v>260</v>
      </c>
      <c r="B4" s="187">
        <f>'CÔng Tăng'!D49</f>
        <v>84.14</v>
      </c>
      <c r="C4" s="207">
        <f>B4*900</f>
        <v>75726</v>
      </c>
    </row>
    <row r="5" spans="1:15" ht="19.5" customHeight="1" thickBot="1">
      <c r="A5" s="203" t="s">
        <v>259</v>
      </c>
      <c r="B5" s="187">
        <f>'CÔng Tăng'!D50</f>
        <v>9.8000000000000007</v>
      </c>
      <c r="C5" s="207">
        <f>B5*5350</f>
        <v>52430.000000000007</v>
      </c>
    </row>
    <row r="6" spans="1:15" s="10" customFormat="1" ht="17.25" thickBot="1">
      <c r="A6" s="202" t="s">
        <v>258</v>
      </c>
      <c r="B6" s="208"/>
      <c r="C6" s="188"/>
    </row>
    <row r="7" spans="1:15" ht="17.25" thickBot="1">
      <c r="A7" s="203" t="s">
        <v>36</v>
      </c>
      <c r="B7" s="187">
        <f>'CÔng Tăng'!D24</f>
        <v>25</v>
      </c>
      <c r="C7" s="207">
        <f>B7*5350*80%</f>
        <v>107000</v>
      </c>
    </row>
    <row r="8" spans="1:15" ht="17.25" thickBot="1">
      <c r="A8" s="203" t="s">
        <v>40</v>
      </c>
      <c r="B8" s="187">
        <f>'CÔng Tăng'!D26</f>
        <v>29.07</v>
      </c>
      <c r="C8" s="207">
        <f>B8*720</f>
        <v>20930.400000000001</v>
      </c>
    </row>
    <row r="9" spans="1:15" ht="17.25" thickBot="1">
      <c r="A9" s="203" t="s">
        <v>179</v>
      </c>
      <c r="B9" s="187">
        <f>'CÔng Tăng'!D28</f>
        <v>8.9</v>
      </c>
      <c r="C9" s="207">
        <f>B9*250</f>
        <v>2225</v>
      </c>
    </row>
    <row r="10" spans="1:15" ht="17.25" thickBot="1">
      <c r="A10" s="203" t="s">
        <v>38</v>
      </c>
      <c r="B10" s="187">
        <f>'CÔng Tăng'!D25</f>
        <v>0</v>
      </c>
      <c r="C10" s="207">
        <f>Sheet5!C18*'CÔng Tăng'!E25+SUM('CÔng Tăng'!F25:O25)*Sheet5!C19</f>
        <v>0</v>
      </c>
    </row>
    <row r="11" spans="1:15" ht="17.25" thickBot="1">
      <c r="A11" s="204" t="s">
        <v>248</v>
      </c>
      <c r="B11" s="188">
        <f>SUM(B4:B9)</f>
        <v>156.91</v>
      </c>
      <c r="C11" s="188">
        <f>SUM(C4:C9)</f>
        <v>258311.4</v>
      </c>
    </row>
    <row r="14" spans="1:15" ht="13.5" thickBot="1">
      <c r="M14">
        <v>55000</v>
      </c>
      <c r="N14">
        <v>100</v>
      </c>
      <c r="O14" s="76">
        <f>M14*N14</f>
        <v>5500000</v>
      </c>
    </row>
    <row r="15" spans="1:15" ht="33.75" thickBot="1">
      <c r="A15" s="210" t="s">
        <v>202</v>
      </c>
      <c r="B15" s="213" t="s">
        <v>122</v>
      </c>
      <c r="C15" s="186" t="s">
        <v>257</v>
      </c>
      <c r="I15" s="185"/>
      <c r="J15" s="185" t="s">
        <v>256</v>
      </c>
      <c r="K15" s="185"/>
    </row>
    <row r="16" spans="1:15" ht="17.25" customHeight="1" thickBot="1">
      <c r="A16" s="203" t="s">
        <v>8</v>
      </c>
      <c r="B16" s="207">
        <f>'B8'!D11</f>
        <v>9</v>
      </c>
      <c r="C16" s="211">
        <f>B16*5*200</f>
        <v>9000</v>
      </c>
      <c r="I16" s="185"/>
      <c r="J16" s="185"/>
      <c r="K16" s="185"/>
    </row>
    <row r="17" spans="1:11" ht="17.25" customHeight="1" thickBot="1">
      <c r="A17" s="203" t="s">
        <v>12</v>
      </c>
      <c r="B17" s="207">
        <f>'B8'!D13</f>
        <v>161.29999999999998</v>
      </c>
      <c r="C17" s="207">
        <f>'B8'!E13*70+SUM('B8'!F13:O13)*60</f>
        <v>9881.7999999999993</v>
      </c>
      <c r="I17" s="815" t="s">
        <v>275</v>
      </c>
      <c r="J17" s="815"/>
      <c r="K17" s="815"/>
    </row>
    <row r="18" spans="1:11" ht="17.25" customHeight="1" thickBot="1">
      <c r="A18" s="203" t="s">
        <v>14</v>
      </c>
      <c r="B18" s="207">
        <f>'B8'!D14</f>
        <v>135.99</v>
      </c>
      <c r="C18" s="207">
        <f>'B8'!E14*70+SUM('B8'!F14:O14)*60</f>
        <v>8626.4000000000015</v>
      </c>
      <c r="I18" s="180" t="s">
        <v>6</v>
      </c>
      <c r="J18" s="179">
        <f>'B1'!D10</f>
        <v>134748.66999999998</v>
      </c>
      <c r="K18" s="178">
        <f>J18/J21*100</f>
        <v>94.116070601648943</v>
      </c>
    </row>
    <row r="19" spans="1:11" ht="17.25" customHeight="1" thickBot="1">
      <c r="A19" s="203" t="s">
        <v>20</v>
      </c>
      <c r="B19" s="207">
        <f>'B8'!D17</f>
        <v>30</v>
      </c>
      <c r="C19" s="207">
        <f>'B8'!E17*50+SUM('B8'!F17:O17)*45</f>
        <v>1360</v>
      </c>
      <c r="I19" s="180" t="s">
        <v>28</v>
      </c>
      <c r="J19" s="179">
        <f>'B1'!D22</f>
        <v>8253.2800000000007</v>
      </c>
      <c r="K19" s="178">
        <f>J19/J21*100</f>
        <v>5.7645562154726822</v>
      </c>
    </row>
    <row r="20" spans="1:11" ht="17.25" customHeight="1" thickBot="1">
      <c r="A20" s="203" t="s">
        <v>52</v>
      </c>
      <c r="B20" s="207">
        <f>'B8'!D53</f>
        <v>0.6</v>
      </c>
      <c r="C20" s="207">
        <f>0.5*900</f>
        <v>450</v>
      </c>
      <c r="I20" s="180" t="s">
        <v>79</v>
      </c>
      <c r="J20" s="179">
        <f>'B1'!D60</f>
        <v>170.91000000000003</v>
      </c>
      <c r="K20" s="178">
        <f>100-K18-K19</f>
        <v>0.11937318287837506</v>
      </c>
    </row>
    <row r="21" spans="1:11" s="10" customFormat="1" ht="17.25" customHeight="1" thickBot="1">
      <c r="A21" s="203" t="s">
        <v>54</v>
      </c>
      <c r="B21" s="207">
        <f>'B8'!D54</f>
        <v>23.49</v>
      </c>
      <c r="C21" s="207">
        <f>B21*5350</f>
        <v>125671.49999999999</v>
      </c>
      <c r="I21" s="176" t="s">
        <v>255</v>
      </c>
      <c r="J21" s="177">
        <f>SUM(J18:J20)</f>
        <v>143172.85999999999</v>
      </c>
      <c r="K21" s="184"/>
    </row>
    <row r="22" spans="1:11" ht="17.25" customHeight="1" thickBot="1">
      <c r="A22" s="212" t="s">
        <v>248</v>
      </c>
      <c r="B22" s="188">
        <f>SUM(B17:B21)</f>
        <v>351.38</v>
      </c>
      <c r="C22" s="188">
        <f>SUM(C16:C21)</f>
        <v>154989.69999999998</v>
      </c>
      <c r="I22" s="183"/>
      <c r="J22" s="183"/>
      <c r="K22" s="183"/>
    </row>
    <row r="23" spans="1:11" s="182" customFormat="1" ht="18.75">
      <c r="I23" s="815" t="s">
        <v>314</v>
      </c>
      <c r="J23" s="815"/>
      <c r="K23" s="815"/>
    </row>
    <row r="24" spans="1:11" ht="18.75">
      <c r="C24" s="76">
        <f>C11-C22</f>
        <v>103321.70000000001</v>
      </c>
      <c r="I24" s="180" t="s">
        <v>6</v>
      </c>
      <c r="J24" s="179">
        <f>'B6'!H8</f>
        <v>134312.33999999997</v>
      </c>
      <c r="K24" s="178">
        <f>J24/J27*100</f>
        <v>93.811313121774617</v>
      </c>
    </row>
    <row r="25" spans="1:11" ht="18.75">
      <c r="I25" s="180" t="s">
        <v>28</v>
      </c>
      <c r="J25" s="179">
        <f>'B6'!H20</f>
        <v>8705.16</v>
      </c>
      <c r="K25" s="178">
        <f>J25/J27*100</f>
        <v>6.0801746923264659</v>
      </c>
    </row>
    <row r="26" spans="1:11" ht="19.5" thickBot="1">
      <c r="E26" s="181">
        <v>3.9</v>
      </c>
      <c r="I26" s="180" t="s">
        <v>79</v>
      </c>
      <c r="J26" s="179">
        <f>'B6'!H58</f>
        <v>155.36000000000001</v>
      </c>
      <c r="K26" s="178">
        <f>100-K24-K25</f>
        <v>0.10851218589891687</v>
      </c>
    </row>
    <row r="27" spans="1:11" ht="19.5" thickBot="1">
      <c r="E27" s="175">
        <v>1</v>
      </c>
      <c r="I27" s="176" t="s">
        <v>255</v>
      </c>
      <c r="J27" s="177">
        <f>SUM(J24:J26)</f>
        <v>143172.85999999996</v>
      </c>
      <c r="K27" s="176"/>
    </row>
    <row r="28" spans="1:11" ht="16.5" thickBot="1">
      <c r="E28" s="175">
        <v>0.5</v>
      </c>
    </row>
    <row r="29" spans="1:11" ht="16.5" thickBot="1">
      <c r="E29" s="175">
        <v>0.3</v>
      </c>
    </row>
    <row r="30" spans="1:11" ht="16.5" thickBot="1">
      <c r="E30" s="175">
        <v>0.5</v>
      </c>
    </row>
    <row r="31" spans="1:11" ht="16.5" thickBot="1">
      <c r="E31" s="175">
        <v>0.3</v>
      </c>
    </row>
    <row r="32" spans="1:11" ht="16.5" thickBot="1">
      <c r="E32" s="175">
        <v>0.6</v>
      </c>
    </row>
    <row r="33" spans="5:5" ht="16.5" thickBot="1">
      <c r="E33" s="175">
        <v>0.8</v>
      </c>
    </row>
    <row r="34" spans="5:5" ht="16.5" thickBot="1">
      <c r="E34" s="175">
        <v>0.5</v>
      </c>
    </row>
    <row r="35" spans="5:5" ht="16.5" thickBot="1">
      <c r="E35" s="175">
        <v>0.3</v>
      </c>
    </row>
    <row r="36" spans="5:5" ht="16.5" thickBot="1">
      <c r="E36" s="175">
        <v>2</v>
      </c>
    </row>
    <row r="47" spans="5:5" s="10" customFormat="1"/>
    <row r="60" s="10" customFormat="1"/>
    <row r="65" s="10" customFormat="1"/>
    <row r="70" s="10" customFormat="1"/>
    <row r="80" s="10" customFormat="1"/>
    <row r="107" s="10" customFormat="1"/>
    <row r="121" s="10" customFormat="1"/>
    <row r="126" s="10" customFormat="1"/>
    <row r="140" s="174" customFormat="1" ht="15.75"/>
    <row r="146" s="10" customFormat="1"/>
    <row r="153" s="1" customFormat="1" ht="20.25" customHeight="1"/>
    <row r="168" s="10" customFormat="1"/>
    <row r="169" s="10" customFormat="1"/>
    <row r="170" s="10" customFormat="1"/>
    <row r="174" s="10" customFormat="1"/>
    <row r="184" ht="12.75" customHeight="1"/>
    <row r="185" ht="12.75" customHeight="1"/>
    <row r="186" ht="12.75" customHeight="1"/>
    <row r="187" ht="12.75" customHeight="1"/>
  </sheetData>
  <mergeCells count="2">
    <mergeCell ref="I17:K17"/>
    <mergeCell ref="I23:K2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13" workbookViewId="0">
      <selection activeCell="G15" sqref="G15"/>
    </sheetView>
  </sheetViews>
  <sheetFormatPr defaultRowHeight="12.75"/>
  <cols>
    <col min="2" max="2" width="53.28515625" customWidth="1"/>
    <col min="4" max="4" width="27.5703125" customWidth="1"/>
    <col min="5" max="5" width="30.7109375" customWidth="1"/>
  </cols>
  <sheetData>
    <row r="1" spans="1:5" ht="15.75">
      <c r="A1" s="816" t="s">
        <v>1</v>
      </c>
      <c r="B1" s="818" t="s">
        <v>252</v>
      </c>
      <c r="C1" s="189" t="s">
        <v>262</v>
      </c>
      <c r="D1" s="816" t="s">
        <v>250</v>
      </c>
      <c r="E1" s="816" t="s">
        <v>264</v>
      </c>
    </row>
    <row r="2" spans="1:5" ht="32.25" thickBot="1">
      <c r="A2" s="817"/>
      <c r="B2" s="819"/>
      <c r="C2" s="190" t="s">
        <v>263</v>
      </c>
      <c r="D2" s="817"/>
      <c r="E2" s="817"/>
    </row>
    <row r="3" spans="1:5" ht="16.5" thickBot="1">
      <c r="A3" s="820">
        <v>1</v>
      </c>
      <c r="B3" s="191" t="s">
        <v>8</v>
      </c>
      <c r="C3" s="192"/>
      <c r="D3" s="191"/>
      <c r="E3" s="193"/>
    </row>
    <row r="4" spans="1:5" ht="16.5" thickBot="1">
      <c r="A4" s="821"/>
      <c r="B4" s="823" t="s">
        <v>265</v>
      </c>
      <c r="C4" s="194">
        <v>200</v>
      </c>
      <c r="D4" s="195" t="s">
        <v>266</v>
      </c>
      <c r="E4" s="197"/>
    </row>
    <row r="5" spans="1:5" ht="16.5" thickBot="1">
      <c r="A5" s="821"/>
      <c r="B5" s="824"/>
      <c r="C5" s="194">
        <v>190</v>
      </c>
      <c r="D5" s="195" t="s">
        <v>267</v>
      </c>
      <c r="E5" s="197"/>
    </row>
    <row r="6" spans="1:5" ht="16.5" thickBot="1">
      <c r="A6" s="821"/>
      <c r="B6" s="823" t="s">
        <v>268</v>
      </c>
      <c r="C6" s="194">
        <v>140</v>
      </c>
      <c r="D6" s="195" t="s">
        <v>266</v>
      </c>
      <c r="E6" s="197"/>
    </row>
    <row r="7" spans="1:5" ht="16.5" thickBot="1">
      <c r="A7" s="822"/>
      <c r="B7" s="824"/>
      <c r="C7" s="194">
        <v>130</v>
      </c>
      <c r="D7" s="195" t="s">
        <v>267</v>
      </c>
      <c r="E7" s="197"/>
    </row>
    <row r="8" spans="1:5" ht="16.5" thickBot="1">
      <c r="A8" s="820">
        <v>2</v>
      </c>
      <c r="B8" s="825" t="s">
        <v>12</v>
      </c>
      <c r="C8" s="192">
        <v>70</v>
      </c>
      <c r="D8" s="191" t="s">
        <v>266</v>
      </c>
      <c r="E8" s="196"/>
    </row>
    <row r="9" spans="1:5" ht="16.5" thickBot="1">
      <c r="A9" s="822"/>
      <c r="B9" s="826"/>
      <c r="C9" s="192">
        <v>60</v>
      </c>
      <c r="D9" s="191" t="s">
        <v>267</v>
      </c>
      <c r="E9" s="196"/>
    </row>
    <row r="10" spans="1:5" ht="16.5" thickBot="1">
      <c r="A10" s="820">
        <v>3</v>
      </c>
      <c r="B10" s="825" t="s">
        <v>14</v>
      </c>
      <c r="C10" s="192">
        <v>70</v>
      </c>
      <c r="D10" s="191" t="s">
        <v>266</v>
      </c>
      <c r="E10" s="196"/>
    </row>
    <row r="11" spans="1:5" ht="16.5" thickBot="1">
      <c r="A11" s="822"/>
      <c r="B11" s="826"/>
      <c r="C11" s="192">
        <v>60</v>
      </c>
      <c r="D11" s="191" t="s">
        <v>267</v>
      </c>
      <c r="E11" s="196"/>
    </row>
    <row r="12" spans="1:5" ht="16.5" thickBot="1">
      <c r="A12" s="820">
        <v>4</v>
      </c>
      <c r="B12" s="825" t="s">
        <v>20</v>
      </c>
      <c r="C12" s="192">
        <v>50</v>
      </c>
      <c r="D12" s="191" t="s">
        <v>266</v>
      </c>
      <c r="E12" s="196"/>
    </row>
    <row r="13" spans="1:5" ht="16.5" thickBot="1">
      <c r="A13" s="822"/>
      <c r="B13" s="826"/>
      <c r="C13" s="192">
        <v>45</v>
      </c>
      <c r="D13" s="191" t="s">
        <v>267</v>
      </c>
      <c r="E13" s="196"/>
    </row>
    <row r="14" spans="1:5" ht="16.5" thickBot="1">
      <c r="A14" s="820">
        <v>5</v>
      </c>
      <c r="B14" s="825" t="s">
        <v>269</v>
      </c>
      <c r="C14" s="192">
        <v>100</v>
      </c>
      <c r="D14" s="191" t="s">
        <v>266</v>
      </c>
      <c r="E14" s="196"/>
    </row>
    <row r="15" spans="1:5" ht="16.5" thickBot="1">
      <c r="A15" s="822"/>
      <c r="B15" s="826"/>
      <c r="C15" s="192">
        <v>80</v>
      </c>
      <c r="D15" s="191" t="s">
        <v>267</v>
      </c>
      <c r="E15" s="196"/>
    </row>
    <row r="16" spans="1:5" ht="62.25" customHeight="1" thickBot="1">
      <c r="A16" s="198">
        <v>6</v>
      </c>
      <c r="B16" s="191" t="s">
        <v>259</v>
      </c>
      <c r="C16" s="199">
        <v>5350</v>
      </c>
      <c r="D16" s="191" t="s">
        <v>266</v>
      </c>
      <c r="E16" s="820" t="s">
        <v>270</v>
      </c>
    </row>
    <row r="17" spans="1:5" ht="16.5" thickBot="1">
      <c r="A17" s="198">
        <v>7</v>
      </c>
      <c r="B17" s="191" t="s">
        <v>52</v>
      </c>
      <c r="C17" s="192">
        <v>900</v>
      </c>
      <c r="D17" s="191" t="s">
        <v>267</v>
      </c>
      <c r="E17" s="822"/>
    </row>
    <row r="18" spans="1:5" ht="16.5" thickBot="1">
      <c r="A18" s="820">
        <v>7</v>
      </c>
      <c r="B18" s="825" t="s">
        <v>271</v>
      </c>
      <c r="C18" s="199">
        <v>4280</v>
      </c>
      <c r="D18" s="191" t="s">
        <v>266</v>
      </c>
      <c r="E18" s="820" t="s">
        <v>272</v>
      </c>
    </row>
    <row r="19" spans="1:5" ht="16.5" thickBot="1">
      <c r="A19" s="822"/>
      <c r="B19" s="826"/>
      <c r="C19" s="192">
        <v>720</v>
      </c>
      <c r="D19" s="191" t="s">
        <v>267</v>
      </c>
      <c r="E19" s="822"/>
    </row>
    <row r="20" spans="1:5" ht="48" thickBot="1">
      <c r="A20" s="198">
        <v>8</v>
      </c>
      <c r="B20" s="191" t="s">
        <v>273</v>
      </c>
      <c r="C20" s="192">
        <v>250</v>
      </c>
      <c r="D20" s="191" t="s">
        <v>274</v>
      </c>
      <c r="E20" s="196"/>
    </row>
  </sheetData>
  <mergeCells count="19">
    <mergeCell ref="A14:A15"/>
    <mergeCell ref="B14:B15"/>
    <mergeCell ref="E16:E17"/>
    <mergeCell ref="A18:A19"/>
    <mergeCell ref="B18:B19"/>
    <mergeCell ref="E18:E19"/>
    <mergeCell ref="A8:A9"/>
    <mergeCell ref="B8:B9"/>
    <mergeCell ref="A10:A11"/>
    <mergeCell ref="B10:B11"/>
    <mergeCell ref="A12:A13"/>
    <mergeCell ref="B12:B13"/>
    <mergeCell ref="A1:A2"/>
    <mergeCell ref="B1:B2"/>
    <mergeCell ref="D1:D2"/>
    <mergeCell ref="E1:E2"/>
    <mergeCell ref="A3:A7"/>
    <mergeCell ref="B4:B5"/>
    <mergeCell ref="B6:B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topLeftCell="B1" workbookViewId="0">
      <selection activeCell="D4" sqref="D4:G55"/>
    </sheetView>
  </sheetViews>
  <sheetFormatPr defaultColWidth="9.140625" defaultRowHeight="12.75"/>
  <cols>
    <col min="1" max="1" width="5.28515625" style="145" customWidth="1"/>
    <col min="2" max="2" width="41.42578125" style="145" customWidth="1"/>
    <col min="3" max="3" width="8.42578125" style="426" customWidth="1"/>
    <col min="4" max="4" width="13.5703125" style="145" customWidth="1"/>
    <col min="5" max="5" width="11.140625" style="145" customWidth="1"/>
    <col min="6" max="6" width="12.42578125" style="145" bestFit="1" customWidth="1"/>
    <col min="7" max="7" width="10.28515625" style="145" customWidth="1"/>
    <col min="8" max="8" width="9.42578125" style="145" bestFit="1" customWidth="1"/>
    <col min="9" max="10" width="9.140625" style="145"/>
    <col min="11" max="12" width="9.85546875" style="145" bestFit="1" customWidth="1"/>
    <col min="13" max="16384" width="9.140625" style="145"/>
  </cols>
  <sheetData>
    <row r="1" spans="1:12" ht="30" customHeight="1">
      <c r="A1" s="714" t="s">
        <v>1</v>
      </c>
      <c r="B1" s="714" t="s">
        <v>2</v>
      </c>
      <c r="C1" s="714" t="s">
        <v>3</v>
      </c>
      <c r="D1" s="716" t="s">
        <v>579</v>
      </c>
      <c r="E1" s="717"/>
      <c r="F1" s="716" t="s">
        <v>499</v>
      </c>
      <c r="G1" s="717"/>
      <c r="H1" s="713" t="s">
        <v>247</v>
      </c>
      <c r="I1" s="703"/>
      <c r="J1" s="703"/>
    </row>
    <row r="2" spans="1:12" ht="28.5" customHeight="1">
      <c r="A2" s="714"/>
      <c r="B2" s="714"/>
      <c r="C2" s="715"/>
      <c r="D2" s="530" t="s">
        <v>580</v>
      </c>
      <c r="E2" s="530" t="s">
        <v>581</v>
      </c>
      <c r="F2" s="530" t="s">
        <v>580</v>
      </c>
      <c r="G2" s="530" t="s">
        <v>581</v>
      </c>
      <c r="H2" s="713"/>
      <c r="I2" s="703"/>
      <c r="J2" s="703"/>
    </row>
    <row r="3" spans="1:12" ht="2.25" hidden="1" customHeight="1">
      <c r="A3" s="714"/>
      <c r="B3" s="714"/>
      <c r="C3" s="714"/>
      <c r="D3" s="528"/>
      <c r="E3" s="529"/>
      <c r="F3" s="528"/>
      <c r="G3" s="409"/>
    </row>
    <row r="4" spans="1:12" s="10" customFormat="1" ht="15.75">
      <c r="A4" s="704"/>
      <c r="B4" s="704" t="s">
        <v>131</v>
      </c>
      <c r="C4" s="704"/>
      <c r="D4" s="410">
        <f>'B1'!D8</f>
        <v>143172.85999999999</v>
      </c>
      <c r="E4" s="410"/>
      <c r="F4" s="410">
        <f>'B6'!H6</f>
        <v>143172.86000000002</v>
      </c>
      <c r="G4" s="412"/>
      <c r="H4" s="149">
        <f>D4/F4*100</f>
        <v>99.999999999999972</v>
      </c>
      <c r="I4" s="148">
        <f t="shared" ref="I4:I43" si="0">F4-H4</f>
        <v>143072.86000000002</v>
      </c>
      <c r="J4" s="148"/>
      <c r="L4" s="148">
        <f>F5-131431.1</f>
        <v>2881.2399999999616</v>
      </c>
    </row>
    <row r="5" spans="1:12" s="10" customFormat="1" ht="15.75">
      <c r="A5" s="704">
        <v>1</v>
      </c>
      <c r="B5" s="413" t="s">
        <v>6</v>
      </c>
      <c r="C5" s="704" t="s">
        <v>7</v>
      </c>
      <c r="D5" s="410">
        <f>'B1'!D10</f>
        <v>134748.66999999998</v>
      </c>
      <c r="E5" s="410">
        <f>D5/$D$4*100</f>
        <v>94.116070601648943</v>
      </c>
      <c r="F5" s="410">
        <f>'B6'!H8</f>
        <v>134312.33999999997</v>
      </c>
      <c r="G5" s="412">
        <f>F5/$F$4*100</f>
        <v>93.811313121774589</v>
      </c>
      <c r="H5" s="149">
        <f t="shared" ref="H5:H43" si="1">D5/F5*100</f>
        <v>100.32486218317693</v>
      </c>
      <c r="I5" s="148">
        <f t="shared" si="0"/>
        <v>134212.01513781678</v>
      </c>
      <c r="J5" s="148"/>
    </row>
    <row r="6" spans="1:12" ht="15.75">
      <c r="A6" s="414" t="s">
        <v>139</v>
      </c>
      <c r="B6" s="415" t="s">
        <v>8</v>
      </c>
      <c r="C6" s="414" t="s">
        <v>9</v>
      </c>
      <c r="D6" s="411">
        <f>'B1'!D11</f>
        <v>1206.1199999999999</v>
      </c>
      <c r="E6" s="411">
        <f t="shared" ref="E6:E55" si="2">D6/$D$4*100</f>
        <v>0.84242223002320404</v>
      </c>
      <c r="F6" s="411">
        <f>'B6'!H9</f>
        <v>1197.1199999999999</v>
      </c>
      <c r="G6" s="416">
        <f t="shared" ref="G6:G55" si="3">F6/$F$4*100</f>
        <v>0.83613612244667013</v>
      </c>
      <c r="H6" s="149">
        <f t="shared" si="1"/>
        <v>100.75180433039294</v>
      </c>
      <c r="I6" s="148">
        <f t="shared" si="0"/>
        <v>1096.3681956696068</v>
      </c>
      <c r="J6" s="148"/>
      <c r="K6" s="145" t="str">
        <f>D1</f>
        <v xml:space="preserve">Hiện trạng sử dụng đất đến năm 2021 </v>
      </c>
      <c r="L6" s="145" t="str">
        <f>F1</f>
        <v>Kế hoạch sử dụng đất năm 2022</v>
      </c>
    </row>
    <row r="7" spans="1:12" ht="15.75">
      <c r="A7" s="414"/>
      <c r="B7" s="417" t="s">
        <v>10</v>
      </c>
      <c r="C7" s="418" t="s">
        <v>11</v>
      </c>
      <c r="D7" s="427">
        <f>'B1'!D12</f>
        <v>737.82999999999993</v>
      </c>
      <c r="E7" s="411">
        <f t="shared" si="2"/>
        <v>0.51534208368820733</v>
      </c>
      <c r="F7" s="427">
        <f>'B6'!H10</f>
        <v>733.13000000000011</v>
      </c>
      <c r="G7" s="416">
        <f t="shared" si="3"/>
        <v>0.51205933862046205</v>
      </c>
      <c r="H7" s="149">
        <f t="shared" si="1"/>
        <v>100.6410868468075</v>
      </c>
      <c r="I7" s="148">
        <f t="shared" si="0"/>
        <v>632.48891315319258</v>
      </c>
      <c r="J7" s="148" t="str">
        <f>B5</f>
        <v>Đất nông nghiệp</v>
      </c>
      <c r="K7" s="150">
        <f>D5</f>
        <v>134748.66999999998</v>
      </c>
      <c r="L7" s="150">
        <f>F5</f>
        <v>134312.33999999997</v>
      </c>
    </row>
    <row r="8" spans="1:12" s="113" customFormat="1" ht="15.75">
      <c r="A8" s="420" t="s">
        <v>140</v>
      </c>
      <c r="B8" s="421" t="s">
        <v>12</v>
      </c>
      <c r="C8" s="420" t="s">
        <v>13</v>
      </c>
      <c r="D8" s="411">
        <f>'B1'!D13</f>
        <v>15442.13</v>
      </c>
      <c r="E8" s="411">
        <f t="shared" si="2"/>
        <v>10.785654487868721</v>
      </c>
      <c r="F8" s="411">
        <f>'B6'!H11</f>
        <v>14772.83</v>
      </c>
      <c r="G8" s="416">
        <f t="shared" si="3"/>
        <v>10.318177621093829</v>
      </c>
      <c r="H8" s="149">
        <f t="shared" si="1"/>
        <v>104.53061464864891</v>
      </c>
      <c r="I8" s="146">
        <f t="shared" si="0"/>
        <v>14668.299385351351</v>
      </c>
      <c r="J8" s="146" t="str">
        <f>B17</f>
        <v>Đất phi nông nghiệp</v>
      </c>
      <c r="K8" s="147">
        <f>D17</f>
        <v>8253.2800000000007</v>
      </c>
      <c r="L8" s="147">
        <f>F17</f>
        <v>8705.16</v>
      </c>
    </row>
    <row r="9" spans="1:12" ht="15.75">
      <c r="A9" s="414" t="s">
        <v>141</v>
      </c>
      <c r="B9" s="415" t="s">
        <v>14</v>
      </c>
      <c r="C9" s="414" t="s">
        <v>15</v>
      </c>
      <c r="D9" s="411">
        <f>'B1'!D14</f>
        <v>27276.15</v>
      </c>
      <c r="E9" s="411">
        <f t="shared" si="2"/>
        <v>19.051201463741105</v>
      </c>
      <c r="F9" s="411">
        <f>'B6'!H12</f>
        <v>27032.239999999998</v>
      </c>
      <c r="G9" s="416">
        <f t="shared" si="3"/>
        <v>18.880840963853064</v>
      </c>
      <c r="H9" s="149">
        <f t="shared" si="1"/>
        <v>100.90229296573278</v>
      </c>
      <c r="I9" s="148">
        <f t="shared" si="0"/>
        <v>26931.337707034265</v>
      </c>
      <c r="J9" s="148" t="str">
        <f>B55</f>
        <v>Đất chưa sử dụng</v>
      </c>
      <c r="K9" s="150">
        <f>D55</f>
        <v>170.91000000000003</v>
      </c>
      <c r="L9" s="150">
        <f>F55</f>
        <v>155.36000000000001</v>
      </c>
    </row>
    <row r="10" spans="1:12" ht="15.75">
      <c r="A10" s="414" t="s">
        <v>142</v>
      </c>
      <c r="B10" s="415" t="s">
        <v>16</v>
      </c>
      <c r="C10" s="414" t="s">
        <v>17</v>
      </c>
      <c r="D10" s="411">
        <f>'B1'!D15</f>
        <v>13322.6</v>
      </c>
      <c r="E10" s="411">
        <f t="shared" si="2"/>
        <v>9.3052551999031117</v>
      </c>
      <c r="F10" s="411">
        <f>'B6'!H13</f>
        <v>13285.24</v>
      </c>
      <c r="G10" s="416">
        <f t="shared" si="3"/>
        <v>9.2791608688965201</v>
      </c>
      <c r="H10" s="149">
        <f t="shared" si="1"/>
        <v>100.28121434012482</v>
      </c>
      <c r="I10" s="148">
        <f t="shared" si="0"/>
        <v>13184.958785659876</v>
      </c>
      <c r="J10" s="148"/>
    </row>
    <row r="11" spans="1:12" ht="15.75">
      <c r="A11" s="414" t="s">
        <v>143</v>
      </c>
      <c r="B11" s="415" t="s">
        <v>18</v>
      </c>
      <c r="C11" s="414" t="s">
        <v>19</v>
      </c>
      <c r="D11" s="411">
        <f>'B1'!D16</f>
        <v>43026.239999999998</v>
      </c>
      <c r="E11" s="411">
        <f t="shared" si="2"/>
        <v>30.051952583750861</v>
      </c>
      <c r="F11" s="411">
        <f>'B6'!H14</f>
        <v>43004.24</v>
      </c>
      <c r="G11" s="416">
        <f t="shared" si="3"/>
        <v>30.036586543008216</v>
      </c>
      <c r="H11" s="149">
        <f t="shared" si="1"/>
        <v>100.05115774630595</v>
      </c>
      <c r="I11" s="148">
        <f t="shared" si="0"/>
        <v>42904.188842253694</v>
      </c>
      <c r="J11" s="148"/>
    </row>
    <row r="12" spans="1:12" ht="15.75">
      <c r="A12" s="414" t="s">
        <v>144</v>
      </c>
      <c r="B12" s="415" t="s">
        <v>20</v>
      </c>
      <c r="C12" s="414" t="s">
        <v>21</v>
      </c>
      <c r="D12" s="411">
        <f>'B1'!D17</f>
        <v>34255.929999999993</v>
      </c>
      <c r="E12" s="411">
        <f t="shared" si="2"/>
        <v>23.926273457134261</v>
      </c>
      <c r="F12" s="411">
        <f>'B6'!H15</f>
        <v>34743.35</v>
      </c>
      <c r="G12" s="416">
        <f t="shared" si="3"/>
        <v>24.266715074351378</v>
      </c>
      <c r="H12" s="149">
        <f t="shared" si="1"/>
        <v>98.597084046299486</v>
      </c>
      <c r="I12" s="148">
        <f t="shared" si="0"/>
        <v>34644.752915953701</v>
      </c>
      <c r="J12" s="148"/>
    </row>
    <row r="13" spans="1:12" s="119" customFormat="1" ht="15" customHeight="1">
      <c r="A13" s="418"/>
      <c r="B13" s="417" t="s">
        <v>277</v>
      </c>
      <c r="C13" s="418" t="s">
        <v>281</v>
      </c>
      <c r="D13" s="427">
        <f>'B1'!D18</f>
        <v>29661.95</v>
      </c>
      <c r="E13" s="427">
        <f t="shared" si="2"/>
        <v>20.717578736640451</v>
      </c>
      <c r="F13" s="427">
        <f>'B6'!H16</f>
        <v>29661.95</v>
      </c>
      <c r="G13" s="419">
        <f t="shared" si="3"/>
        <v>20.717578736640448</v>
      </c>
      <c r="H13" s="428">
        <f t="shared" si="1"/>
        <v>100</v>
      </c>
      <c r="I13" s="429">
        <f t="shared" si="0"/>
        <v>29561.95</v>
      </c>
      <c r="J13" s="429"/>
    </row>
    <row r="14" spans="1:12" ht="15.75">
      <c r="A14" s="414" t="s">
        <v>145</v>
      </c>
      <c r="B14" s="415" t="s">
        <v>22</v>
      </c>
      <c r="C14" s="414" t="s">
        <v>23</v>
      </c>
      <c r="D14" s="411">
        <f>'B1'!D19</f>
        <v>122.69</v>
      </c>
      <c r="E14" s="411">
        <f t="shared" si="2"/>
        <v>8.5693615396102318E-2</v>
      </c>
      <c r="F14" s="411">
        <f>'B6'!H17</f>
        <v>129.5</v>
      </c>
      <c r="G14" s="416">
        <f t="shared" si="3"/>
        <v>9.0450103462346138E-2</v>
      </c>
      <c r="H14" s="149"/>
      <c r="I14" s="148">
        <f t="shared" si="0"/>
        <v>129.5</v>
      </c>
      <c r="J14" s="148"/>
    </row>
    <row r="15" spans="1:12" ht="15.75">
      <c r="A15" s="414" t="s">
        <v>146</v>
      </c>
      <c r="B15" s="415" t="s">
        <v>24</v>
      </c>
      <c r="C15" s="414" t="s">
        <v>25</v>
      </c>
      <c r="D15" s="411">
        <f>'B1'!D20</f>
        <v>0</v>
      </c>
      <c r="E15" s="411">
        <f t="shared" si="2"/>
        <v>0</v>
      </c>
      <c r="F15" s="411">
        <f>'B6'!H18</f>
        <v>0</v>
      </c>
      <c r="G15" s="416">
        <f t="shared" si="3"/>
        <v>0</v>
      </c>
      <c r="H15" s="149" t="e">
        <f t="shared" si="1"/>
        <v>#DIV/0!</v>
      </c>
      <c r="I15" s="148" t="e">
        <f t="shared" si="0"/>
        <v>#DIV/0!</v>
      </c>
      <c r="J15" s="148"/>
    </row>
    <row r="16" spans="1:12" ht="15.75">
      <c r="A16" s="414" t="s">
        <v>147</v>
      </c>
      <c r="B16" s="415" t="s">
        <v>26</v>
      </c>
      <c r="C16" s="414" t="s">
        <v>27</v>
      </c>
      <c r="D16" s="411">
        <f>'B1'!D21</f>
        <v>96.81</v>
      </c>
      <c r="E16" s="411">
        <f t="shared" si="2"/>
        <v>6.7617563831580935E-2</v>
      </c>
      <c r="F16" s="411">
        <f>'B6'!H19</f>
        <v>147.82</v>
      </c>
      <c r="G16" s="416">
        <f t="shared" si="3"/>
        <v>0.10324582466257919</v>
      </c>
      <c r="H16" s="149">
        <f t="shared" si="1"/>
        <v>65.491814368826965</v>
      </c>
      <c r="I16" s="150">
        <f t="shared" si="0"/>
        <v>82.328185631173028</v>
      </c>
      <c r="J16" s="150"/>
    </row>
    <row r="17" spans="1:13" s="10" customFormat="1" ht="15.75">
      <c r="A17" s="704">
        <v>2</v>
      </c>
      <c r="B17" s="413" t="s">
        <v>28</v>
      </c>
      <c r="C17" s="704" t="s">
        <v>29</v>
      </c>
      <c r="D17" s="410">
        <f>'B1'!D22</f>
        <v>8253.2800000000007</v>
      </c>
      <c r="E17" s="410">
        <f t="shared" si="2"/>
        <v>5.7645562154726822</v>
      </c>
      <c r="F17" s="410">
        <f>'B6'!H20</f>
        <v>8705.16</v>
      </c>
      <c r="G17" s="412">
        <f t="shared" si="3"/>
        <v>6.0801746923264641</v>
      </c>
      <c r="H17" s="408">
        <f t="shared" si="1"/>
        <v>94.809055778411889</v>
      </c>
      <c r="I17" s="148">
        <f t="shared" si="0"/>
        <v>8610.3509442215873</v>
      </c>
      <c r="J17" s="148"/>
    </row>
    <row r="18" spans="1:13" ht="15.75">
      <c r="A18" s="414" t="s">
        <v>148</v>
      </c>
      <c r="B18" s="415" t="s">
        <v>30</v>
      </c>
      <c r="C18" s="414" t="s">
        <v>31</v>
      </c>
      <c r="D18" s="411">
        <f>'B1'!D23</f>
        <v>117.53</v>
      </c>
      <c r="E18" s="411">
        <f t="shared" si="2"/>
        <v>8.2089580385556332E-2</v>
      </c>
      <c r="F18" s="411">
        <f>'B6'!H21</f>
        <v>119.86999999999999</v>
      </c>
      <c r="G18" s="416">
        <f t="shared" si="3"/>
        <v>8.372396835545505E-2</v>
      </c>
      <c r="H18" s="149">
        <f t="shared" si="1"/>
        <v>98.04788520897641</v>
      </c>
      <c r="I18" s="148">
        <f t="shared" si="0"/>
        <v>21.82211479102358</v>
      </c>
      <c r="J18" s="148"/>
    </row>
    <row r="19" spans="1:13" ht="15.75">
      <c r="A19" s="414" t="s">
        <v>138</v>
      </c>
      <c r="B19" s="415" t="s">
        <v>32</v>
      </c>
      <c r="C19" s="414" t="s">
        <v>33</v>
      </c>
      <c r="D19" s="411">
        <f>'B1'!D24</f>
        <v>0.97</v>
      </c>
      <c r="E19" s="411">
        <f t="shared" si="2"/>
        <v>6.7750270547085542E-4</v>
      </c>
      <c r="F19" s="411">
        <f>'B6'!H22</f>
        <v>3.4099999999999997</v>
      </c>
      <c r="G19" s="416">
        <f t="shared" si="3"/>
        <v>2.3817363151088827E-3</v>
      </c>
      <c r="H19" s="149"/>
      <c r="I19" s="148">
        <f t="shared" si="0"/>
        <v>3.4099999999999997</v>
      </c>
      <c r="J19" s="148"/>
    </row>
    <row r="20" spans="1:13" ht="15.75">
      <c r="A20" s="414" t="s">
        <v>149</v>
      </c>
      <c r="B20" s="415" t="s">
        <v>34</v>
      </c>
      <c r="C20" s="414" t="s">
        <v>35</v>
      </c>
      <c r="D20" s="411">
        <f>'B1'!D25</f>
        <v>0</v>
      </c>
      <c r="E20" s="411">
        <f t="shared" si="2"/>
        <v>0</v>
      </c>
      <c r="F20" s="411">
        <f>'B6'!H23</f>
        <v>0</v>
      </c>
      <c r="G20" s="416">
        <f t="shared" si="3"/>
        <v>0</v>
      </c>
      <c r="H20" s="149"/>
      <c r="I20" s="148">
        <f t="shared" si="0"/>
        <v>0</v>
      </c>
      <c r="J20" s="148"/>
    </row>
    <row r="21" spans="1:13" ht="15.75">
      <c r="A21" s="414" t="s">
        <v>150</v>
      </c>
      <c r="B21" s="415" t="s">
        <v>36</v>
      </c>
      <c r="C21" s="414" t="s">
        <v>37</v>
      </c>
      <c r="D21" s="411">
        <f>'B1'!D26</f>
        <v>0</v>
      </c>
      <c r="E21" s="411">
        <f t="shared" si="2"/>
        <v>0</v>
      </c>
      <c r="F21" s="411">
        <f>'B6'!H24</f>
        <v>25</v>
      </c>
      <c r="G21" s="416">
        <f t="shared" si="3"/>
        <v>1.7461409934815857E-2</v>
      </c>
      <c r="H21" s="149">
        <f t="shared" si="1"/>
        <v>0</v>
      </c>
      <c r="I21" s="148">
        <f t="shared" si="0"/>
        <v>25</v>
      </c>
      <c r="J21" s="148"/>
    </row>
    <row r="22" spans="1:13" ht="15.75">
      <c r="A22" s="414" t="s">
        <v>151</v>
      </c>
      <c r="B22" s="415" t="s">
        <v>38</v>
      </c>
      <c r="C22" s="414" t="s">
        <v>39</v>
      </c>
      <c r="D22" s="411">
        <f>'B1'!D27</f>
        <v>5.169999999999999</v>
      </c>
      <c r="E22" s="411">
        <f t="shared" si="2"/>
        <v>3.6110195745199187E-3</v>
      </c>
      <c r="F22" s="411">
        <f>'B6'!H25</f>
        <v>5.169999999999999</v>
      </c>
      <c r="G22" s="416">
        <f t="shared" si="3"/>
        <v>3.6110195745199182E-3</v>
      </c>
      <c r="H22" s="149">
        <f t="shared" si="1"/>
        <v>100</v>
      </c>
      <c r="I22" s="148">
        <f t="shared" si="0"/>
        <v>-94.83</v>
      </c>
      <c r="J22" s="148"/>
    </row>
    <row r="23" spans="1:13" ht="15.75">
      <c r="A23" s="414" t="s">
        <v>152</v>
      </c>
      <c r="B23" s="415" t="s">
        <v>40</v>
      </c>
      <c r="C23" s="414" t="s">
        <v>41</v>
      </c>
      <c r="D23" s="411">
        <f>'B1'!D28</f>
        <v>55.789999999999992</v>
      </c>
      <c r="E23" s="411">
        <f t="shared" si="2"/>
        <v>3.8966882410535066E-2</v>
      </c>
      <c r="F23" s="411">
        <f>'B6'!H26</f>
        <v>84.859999999999985</v>
      </c>
      <c r="G23" s="416">
        <f t="shared" si="3"/>
        <v>5.927100988273893E-2</v>
      </c>
      <c r="H23" s="149">
        <f t="shared" si="1"/>
        <v>65.743577657317942</v>
      </c>
      <c r="I23" s="148">
        <f t="shared" si="0"/>
        <v>19.116422342682043</v>
      </c>
      <c r="J23" s="148"/>
    </row>
    <row r="24" spans="1:13" ht="15.75">
      <c r="A24" s="414" t="s">
        <v>153</v>
      </c>
      <c r="B24" s="415" t="s">
        <v>42</v>
      </c>
      <c r="C24" s="414" t="s">
        <v>43</v>
      </c>
      <c r="D24" s="411">
        <f>'B1'!D29</f>
        <v>4.66</v>
      </c>
      <c r="E24" s="411">
        <f t="shared" si="2"/>
        <v>3.2548068118496767E-3</v>
      </c>
      <c r="F24" s="411">
        <f>'B6'!H27</f>
        <v>4.66</v>
      </c>
      <c r="G24" s="416">
        <f t="shared" si="3"/>
        <v>3.2548068118496759E-3</v>
      </c>
      <c r="H24" s="149">
        <f t="shared" si="1"/>
        <v>100</v>
      </c>
      <c r="I24" s="148">
        <f t="shared" si="0"/>
        <v>-95.34</v>
      </c>
      <c r="J24" s="148"/>
    </row>
    <row r="25" spans="1:13" ht="15.75">
      <c r="A25" s="414" t="s">
        <v>154</v>
      </c>
      <c r="B25" s="415" t="s">
        <v>179</v>
      </c>
      <c r="C25" s="414" t="s">
        <v>66</v>
      </c>
      <c r="D25" s="411">
        <f>'B1'!D30</f>
        <v>22.740000000000002</v>
      </c>
      <c r="E25" s="411">
        <f t="shared" si="2"/>
        <v>1.5882898476708509E-2</v>
      </c>
      <c r="F25" s="411">
        <f>'B6'!H28</f>
        <v>31.64</v>
      </c>
      <c r="G25" s="416">
        <f t="shared" si="3"/>
        <v>2.209916041350295E-2</v>
      </c>
      <c r="H25" s="149">
        <f t="shared" si="1"/>
        <v>71.871049304677626</v>
      </c>
      <c r="I25" s="148">
        <f t="shared" si="0"/>
        <v>-40.231049304677626</v>
      </c>
      <c r="J25" s="148"/>
    </row>
    <row r="26" spans="1:13" ht="15.75">
      <c r="A26" s="414" t="s">
        <v>155</v>
      </c>
      <c r="B26" s="415" t="s">
        <v>180</v>
      </c>
      <c r="C26" s="414" t="s">
        <v>45</v>
      </c>
      <c r="D26" s="411">
        <f>'B1'!D31</f>
        <v>6091.9400000000005</v>
      </c>
      <c r="E26" s="411">
        <f t="shared" si="2"/>
        <v>4.2549544655320855</v>
      </c>
      <c r="F26" s="411">
        <f>'B6'!H29</f>
        <v>6385.2900000000009</v>
      </c>
      <c r="G26" s="416">
        <f t="shared" si="3"/>
        <v>4.459846649707214</v>
      </c>
      <c r="H26" s="149">
        <f t="shared" si="1"/>
        <v>95.405846876179467</v>
      </c>
      <c r="I26" s="148">
        <f t="shared" si="0"/>
        <v>6289.8841531238213</v>
      </c>
      <c r="J26" s="148"/>
    </row>
    <row r="27" spans="1:13" ht="15.75">
      <c r="A27" s="414"/>
      <c r="B27" s="415" t="s">
        <v>228</v>
      </c>
      <c r="C27" s="414" t="s">
        <v>196</v>
      </c>
      <c r="D27" s="411">
        <f>'B1'!D32</f>
        <v>1160.3399999999999</v>
      </c>
      <c r="E27" s="411">
        <f t="shared" si="2"/>
        <v>0.81044689615056931</v>
      </c>
      <c r="F27" s="411">
        <f>'B6'!H30</f>
        <v>1319.0300000000002</v>
      </c>
      <c r="G27" s="416">
        <f t="shared" si="3"/>
        <v>0.92128494185280652</v>
      </c>
      <c r="H27" s="149"/>
      <c r="I27" s="148">
        <f t="shared" si="0"/>
        <v>1319.0300000000002</v>
      </c>
      <c r="J27" s="148"/>
    </row>
    <row r="28" spans="1:13" ht="15.75">
      <c r="A28" s="414"/>
      <c r="B28" s="415" t="s">
        <v>229</v>
      </c>
      <c r="C28" s="414" t="s">
        <v>194</v>
      </c>
      <c r="D28" s="411">
        <f>'B1'!D33</f>
        <v>92.570000000000007</v>
      </c>
      <c r="E28" s="411">
        <f t="shared" si="2"/>
        <v>6.465610870663617E-2</v>
      </c>
      <c r="F28" s="411">
        <f>'B6'!H31</f>
        <v>162.96999999999997</v>
      </c>
      <c r="G28" s="416">
        <f t="shared" si="3"/>
        <v>0.11382743908307759</v>
      </c>
      <c r="H28" s="149">
        <f t="shared" si="1"/>
        <v>56.801865373995227</v>
      </c>
      <c r="I28" s="148">
        <f t="shared" si="0"/>
        <v>106.16813462600474</v>
      </c>
      <c r="J28" s="148"/>
      <c r="M28" s="145">
        <f>12000*12</f>
        <v>144000</v>
      </c>
    </row>
    <row r="29" spans="1:13" ht="15.75">
      <c r="A29" s="414"/>
      <c r="B29" s="415" t="s">
        <v>222</v>
      </c>
      <c r="C29" s="414" t="s">
        <v>232</v>
      </c>
      <c r="D29" s="411">
        <f>'B1'!D34</f>
        <v>6.18</v>
      </c>
      <c r="E29" s="411">
        <f t="shared" si="2"/>
        <v>4.3164605358864804E-3</v>
      </c>
      <c r="F29" s="411">
        <f>'B6'!H32</f>
        <v>6.2299999999999995</v>
      </c>
      <c r="G29" s="416">
        <f t="shared" si="3"/>
        <v>4.3513833557561115E-3</v>
      </c>
      <c r="H29" s="149">
        <f t="shared" si="1"/>
        <v>99.197431781701454</v>
      </c>
      <c r="I29" s="148">
        <f t="shared" si="0"/>
        <v>-92.96743178170145</v>
      </c>
      <c r="J29" s="148"/>
      <c r="L29" s="150">
        <f>8050.81-F16</f>
        <v>7902.9900000000007</v>
      </c>
      <c r="M29" s="145">
        <f>M28/10000</f>
        <v>14.4</v>
      </c>
    </row>
    <row r="30" spans="1:13" ht="15.75">
      <c r="A30" s="414"/>
      <c r="B30" s="415" t="s">
        <v>223</v>
      </c>
      <c r="C30" s="414" t="s">
        <v>233</v>
      </c>
      <c r="D30" s="411">
        <f>'B1'!D35</f>
        <v>4.96</v>
      </c>
      <c r="E30" s="411">
        <f t="shared" si="2"/>
        <v>3.4643437310674665E-3</v>
      </c>
      <c r="F30" s="411">
        <f>'B6'!H33</f>
        <v>4.96</v>
      </c>
      <c r="G30" s="416">
        <f t="shared" si="3"/>
        <v>3.464343731067466E-3</v>
      </c>
      <c r="H30" s="149">
        <f t="shared" si="1"/>
        <v>100</v>
      </c>
      <c r="I30" s="148">
        <f t="shared" si="0"/>
        <v>-95.04</v>
      </c>
      <c r="J30" s="148"/>
    </row>
    <row r="31" spans="1:13" ht="15.75">
      <c r="A31" s="414"/>
      <c r="B31" s="415" t="s">
        <v>224</v>
      </c>
      <c r="C31" s="414" t="s">
        <v>192</v>
      </c>
      <c r="D31" s="411">
        <f>'B1'!D36</f>
        <v>61.53</v>
      </c>
      <c r="E31" s="411">
        <f t="shared" si="2"/>
        <v>4.2976022131568793E-2</v>
      </c>
      <c r="F31" s="411">
        <f>'B6'!H34</f>
        <v>62.94</v>
      </c>
      <c r="G31" s="416">
        <f t="shared" si="3"/>
        <v>4.39608456518924E-2</v>
      </c>
      <c r="H31" s="149">
        <f t="shared" si="1"/>
        <v>97.759771210676831</v>
      </c>
      <c r="I31" s="148">
        <f t="shared" si="0"/>
        <v>-34.819771210676834</v>
      </c>
      <c r="J31" s="148"/>
    </row>
    <row r="32" spans="1:13" ht="15.75">
      <c r="A32" s="414"/>
      <c r="B32" s="415" t="s">
        <v>225</v>
      </c>
      <c r="C32" s="414" t="s">
        <v>195</v>
      </c>
      <c r="D32" s="411">
        <f>'B1'!D37</f>
        <v>16.670000000000002</v>
      </c>
      <c r="E32" s="411">
        <f t="shared" si="2"/>
        <v>1.1643268144535217E-2</v>
      </c>
      <c r="F32" s="411">
        <f>'B6'!H35</f>
        <v>16.690000000000001</v>
      </c>
      <c r="G32" s="416">
        <f t="shared" si="3"/>
        <v>1.1657237272483066E-2</v>
      </c>
      <c r="H32" s="149">
        <f t="shared" si="1"/>
        <v>99.880167765128817</v>
      </c>
      <c r="I32" s="148">
        <f t="shared" si="0"/>
        <v>-83.19016776512882</v>
      </c>
      <c r="J32" s="148"/>
    </row>
    <row r="33" spans="1:10" ht="15.75">
      <c r="A33" s="414"/>
      <c r="B33" s="415" t="s">
        <v>282</v>
      </c>
      <c r="C33" s="414" t="s">
        <v>193</v>
      </c>
      <c r="D33" s="411">
        <f>'B1'!D38</f>
        <v>4617.17</v>
      </c>
      <c r="E33" s="411">
        <f t="shared" si="2"/>
        <v>3.2248919243493499</v>
      </c>
      <c r="F33" s="411">
        <f>'B6'!H36</f>
        <v>4656.55</v>
      </c>
      <c r="G33" s="416">
        <f t="shared" si="3"/>
        <v>3.2523971372786709</v>
      </c>
      <c r="H33" s="149"/>
      <c r="I33" s="148">
        <f t="shared" si="0"/>
        <v>4656.55</v>
      </c>
      <c r="J33" s="148"/>
    </row>
    <row r="34" spans="1:10" ht="15.75">
      <c r="A34" s="414"/>
      <c r="B34" s="415" t="s">
        <v>230</v>
      </c>
      <c r="C34" s="414" t="s">
        <v>236</v>
      </c>
      <c r="D34" s="411">
        <f>'B1'!D39</f>
        <v>1.02</v>
      </c>
      <c r="E34" s="411">
        <f t="shared" si="2"/>
        <v>7.1242552534048708E-4</v>
      </c>
      <c r="F34" s="411">
        <f>'B6'!H37</f>
        <v>1.02</v>
      </c>
      <c r="G34" s="416">
        <f t="shared" si="3"/>
        <v>7.1242552534048697E-4</v>
      </c>
      <c r="H34" s="149">
        <f t="shared" si="1"/>
        <v>100</v>
      </c>
      <c r="I34" s="148">
        <f t="shared" si="0"/>
        <v>-98.98</v>
      </c>
      <c r="J34" s="148"/>
    </row>
    <row r="35" spans="1:10" ht="15.75">
      <c r="A35" s="414"/>
      <c r="B35" s="415" t="s">
        <v>278</v>
      </c>
      <c r="C35" s="414" t="s">
        <v>279</v>
      </c>
      <c r="D35" s="411">
        <f>'B1'!D40</f>
        <v>0</v>
      </c>
      <c r="E35" s="411">
        <f t="shared" si="2"/>
        <v>0</v>
      </c>
      <c r="F35" s="411">
        <f>'B6'!H38</f>
        <v>0</v>
      </c>
      <c r="G35" s="416">
        <f t="shared" si="3"/>
        <v>0</v>
      </c>
      <c r="H35" s="149" t="e">
        <f t="shared" si="1"/>
        <v>#DIV/0!</v>
      </c>
      <c r="I35" s="148" t="e">
        <f t="shared" si="0"/>
        <v>#DIV/0!</v>
      </c>
      <c r="J35" s="148"/>
    </row>
    <row r="36" spans="1:10" ht="15.75">
      <c r="A36" s="414"/>
      <c r="B36" s="415" t="s">
        <v>46</v>
      </c>
      <c r="C36" s="414" t="s">
        <v>47</v>
      </c>
      <c r="D36" s="411">
        <f>'B1'!D41</f>
        <v>3.86</v>
      </c>
      <c r="E36" s="411">
        <f t="shared" si="2"/>
        <v>2.6960416939355689E-3</v>
      </c>
      <c r="F36" s="411">
        <f>'B6'!H39</f>
        <v>3.86</v>
      </c>
      <c r="G36" s="416">
        <f t="shared" si="3"/>
        <v>2.696041693935568E-3</v>
      </c>
      <c r="H36" s="149">
        <f t="shared" si="1"/>
        <v>100</v>
      </c>
      <c r="I36" s="148">
        <f t="shared" si="0"/>
        <v>-96.14</v>
      </c>
      <c r="J36" s="148"/>
    </row>
    <row r="37" spans="1:10" ht="15.75">
      <c r="A37" s="414"/>
      <c r="B37" s="415" t="s">
        <v>50</v>
      </c>
      <c r="C37" s="414" t="s">
        <v>51</v>
      </c>
      <c r="D37" s="411">
        <f>'B1'!D42</f>
        <v>2.65</v>
      </c>
      <c r="E37" s="411">
        <f t="shared" si="2"/>
        <v>1.8509094530904811E-3</v>
      </c>
      <c r="F37" s="411">
        <f>'B6'!H40</f>
        <v>21.15</v>
      </c>
      <c r="G37" s="416">
        <f t="shared" si="3"/>
        <v>1.4772352804854214E-2</v>
      </c>
      <c r="H37" s="149">
        <f t="shared" si="1"/>
        <v>12.529550827423169</v>
      </c>
      <c r="I37" s="148">
        <f t="shared" si="0"/>
        <v>8.62044917257683</v>
      </c>
      <c r="J37" s="148"/>
    </row>
    <row r="38" spans="1:10" ht="15.75">
      <c r="A38" s="414"/>
      <c r="B38" s="415" t="s">
        <v>62</v>
      </c>
      <c r="C38" s="414" t="s">
        <v>63</v>
      </c>
      <c r="D38" s="411">
        <f>'B1'!D43</f>
        <v>5.8500000000000005</v>
      </c>
      <c r="E38" s="411">
        <f t="shared" si="2"/>
        <v>4.0859699247469111E-3</v>
      </c>
      <c r="F38" s="411">
        <f>'B6'!H41</f>
        <v>5.8500000000000005</v>
      </c>
      <c r="G38" s="416">
        <f t="shared" si="3"/>
        <v>4.0859699247469111E-3</v>
      </c>
      <c r="H38" s="149">
        <f t="shared" si="1"/>
        <v>100</v>
      </c>
      <c r="I38" s="148">
        <f t="shared" si="0"/>
        <v>-94.15</v>
      </c>
      <c r="J38" s="148"/>
    </row>
    <row r="39" spans="1:10" ht="15.75">
      <c r="A39" s="414"/>
      <c r="B39" s="415" t="s">
        <v>280</v>
      </c>
      <c r="C39" s="414" t="s">
        <v>64</v>
      </c>
      <c r="D39" s="411">
        <f>'B1'!D44</f>
        <v>116.25</v>
      </c>
      <c r="E39" s="411">
        <f t="shared" si="2"/>
        <v>8.1195556196893753E-2</v>
      </c>
      <c r="F39" s="411">
        <f>'B6'!H42</f>
        <v>120.85</v>
      </c>
      <c r="G39" s="416">
        <f t="shared" si="3"/>
        <v>8.4408455624899847E-2</v>
      </c>
      <c r="H39" s="149">
        <f t="shared" si="1"/>
        <v>96.193628465039311</v>
      </c>
      <c r="I39" s="148">
        <f t="shared" si="0"/>
        <v>24.656371534960684</v>
      </c>
      <c r="J39" s="148"/>
    </row>
    <row r="40" spans="1:10" ht="15.75">
      <c r="A40" s="414"/>
      <c r="B40" s="415" t="s">
        <v>226</v>
      </c>
      <c r="C40" s="414" t="s">
        <v>234</v>
      </c>
      <c r="D40" s="411">
        <f>'B1'!D45</f>
        <v>0</v>
      </c>
      <c r="E40" s="411">
        <f t="shared" si="2"/>
        <v>0</v>
      </c>
      <c r="F40" s="411">
        <f>'B6'!H43</f>
        <v>0</v>
      </c>
      <c r="G40" s="416">
        <f t="shared" si="3"/>
        <v>0</v>
      </c>
      <c r="H40" s="149" t="e">
        <f t="shared" si="1"/>
        <v>#DIV/0!</v>
      </c>
      <c r="I40" s="148" t="e">
        <f t="shared" si="0"/>
        <v>#DIV/0!</v>
      </c>
      <c r="J40" s="148"/>
    </row>
    <row r="41" spans="1:10" ht="15.75">
      <c r="A41" s="414"/>
      <c r="B41" s="415" t="s">
        <v>227</v>
      </c>
      <c r="C41" s="414" t="s">
        <v>235</v>
      </c>
      <c r="D41" s="411">
        <f>'B1'!D46</f>
        <v>0.66</v>
      </c>
      <c r="E41" s="411">
        <f t="shared" si="2"/>
        <v>4.6098122227913874E-4</v>
      </c>
      <c r="F41" s="411">
        <f>'B6'!H44</f>
        <v>0.66</v>
      </c>
      <c r="G41" s="416">
        <f t="shared" si="3"/>
        <v>4.6098122227913863E-4</v>
      </c>
      <c r="H41" s="149">
        <f t="shared" si="1"/>
        <v>100</v>
      </c>
      <c r="I41" s="148">
        <f t="shared" si="0"/>
        <v>-99.34</v>
      </c>
      <c r="J41" s="148"/>
    </row>
    <row r="42" spans="1:10" ht="15.75">
      <c r="A42" s="414"/>
      <c r="B42" s="415" t="s">
        <v>231</v>
      </c>
      <c r="C42" s="414" t="s">
        <v>206</v>
      </c>
      <c r="D42" s="411">
        <f>'B1'!D47</f>
        <v>2.23</v>
      </c>
      <c r="E42" s="411">
        <f t="shared" si="2"/>
        <v>1.5575577661855746E-3</v>
      </c>
      <c r="F42" s="411">
        <f>'B6'!H45</f>
        <v>2.5299999999999998</v>
      </c>
      <c r="G42" s="416">
        <f t="shared" si="3"/>
        <v>1.7670946854033644E-3</v>
      </c>
      <c r="H42" s="149">
        <f t="shared" si="1"/>
        <v>88.142292490118578</v>
      </c>
      <c r="I42" s="148">
        <f t="shared" si="0"/>
        <v>-85.612292490118577</v>
      </c>
      <c r="J42" s="148"/>
    </row>
    <row r="43" spans="1:10" ht="15.75">
      <c r="A43" s="414" t="s">
        <v>156</v>
      </c>
      <c r="B43" s="415" t="s">
        <v>48</v>
      </c>
      <c r="C43" s="414" t="s">
        <v>49</v>
      </c>
      <c r="D43" s="411">
        <f>'B1'!D48</f>
        <v>0</v>
      </c>
      <c r="E43" s="411">
        <f t="shared" si="2"/>
        <v>0</v>
      </c>
      <c r="F43" s="411">
        <f>'B6'!H46</f>
        <v>0</v>
      </c>
      <c r="G43" s="416">
        <f t="shared" si="3"/>
        <v>0</v>
      </c>
      <c r="H43" s="149" t="e">
        <f t="shared" si="1"/>
        <v>#DIV/0!</v>
      </c>
      <c r="I43" s="150" t="e">
        <f t="shared" si="0"/>
        <v>#DIV/0!</v>
      </c>
      <c r="J43" s="150"/>
    </row>
    <row r="44" spans="1:10" ht="15.75">
      <c r="A44" s="414" t="s">
        <v>157</v>
      </c>
      <c r="B44" s="415" t="s">
        <v>67</v>
      </c>
      <c r="C44" s="414" t="s">
        <v>68</v>
      </c>
      <c r="D44" s="411">
        <f>'B1'!D49</f>
        <v>13.120000000000001</v>
      </c>
      <c r="E44" s="411">
        <f t="shared" si="2"/>
        <v>9.1637479337913635E-3</v>
      </c>
      <c r="F44" s="411">
        <f>'B6'!H47</f>
        <v>13.25</v>
      </c>
      <c r="G44" s="416">
        <f t="shared" si="3"/>
        <v>9.254547265452405E-3</v>
      </c>
    </row>
    <row r="45" spans="1:10" ht="15.75">
      <c r="A45" s="414" t="s">
        <v>158</v>
      </c>
      <c r="B45" s="415" t="s">
        <v>69</v>
      </c>
      <c r="C45" s="414" t="s">
        <v>70</v>
      </c>
      <c r="D45" s="411">
        <f>'B1'!D50</f>
        <v>3.08</v>
      </c>
      <c r="E45" s="411">
        <f t="shared" si="2"/>
        <v>2.1512457039693138E-3</v>
      </c>
      <c r="F45" s="411">
        <f>'B6'!H48</f>
        <v>5.85</v>
      </c>
      <c r="G45" s="416">
        <f t="shared" si="3"/>
        <v>4.0859699247469102E-3</v>
      </c>
    </row>
    <row r="46" spans="1:10" ht="15.75">
      <c r="A46" s="414" t="s">
        <v>159</v>
      </c>
      <c r="B46" s="415" t="s">
        <v>52</v>
      </c>
      <c r="C46" s="414" t="s">
        <v>53</v>
      </c>
      <c r="D46" s="411">
        <f>'B1'!D51</f>
        <v>723.55</v>
      </c>
      <c r="E46" s="411">
        <f t="shared" si="2"/>
        <v>0.50536812633344053</v>
      </c>
      <c r="F46" s="411">
        <f>'B6'!H49</f>
        <v>807.09</v>
      </c>
      <c r="G46" s="416">
        <f t="shared" si="3"/>
        <v>0.56371717377162123</v>
      </c>
    </row>
    <row r="47" spans="1:10" ht="15.75">
      <c r="A47" s="422" t="s">
        <v>160</v>
      </c>
      <c r="B47" s="422" t="s">
        <v>54</v>
      </c>
      <c r="C47" s="424" t="s">
        <v>55</v>
      </c>
      <c r="D47" s="411">
        <f>'B1'!D52</f>
        <v>120.44999999999999</v>
      </c>
      <c r="E47" s="411">
        <f t="shared" si="2"/>
        <v>8.4129073065942805E-2</v>
      </c>
      <c r="F47" s="411">
        <f>'B6'!H50</f>
        <v>125.06</v>
      </c>
      <c r="G47" s="416">
        <f t="shared" si="3"/>
        <v>8.7348957057922838E-2</v>
      </c>
    </row>
    <row r="48" spans="1:10" ht="15.75">
      <c r="A48" s="422" t="s">
        <v>161</v>
      </c>
      <c r="B48" s="422" t="s">
        <v>56</v>
      </c>
      <c r="C48" s="424" t="s">
        <v>57</v>
      </c>
      <c r="D48" s="411">
        <f>'B1'!D53</f>
        <v>21.96</v>
      </c>
      <c r="E48" s="411">
        <f t="shared" si="2"/>
        <v>1.533810248674225E-2</v>
      </c>
      <c r="F48" s="411">
        <f>'B6'!H51</f>
        <v>20.970000000000002</v>
      </c>
      <c r="G48" s="416">
        <f t="shared" si="3"/>
        <v>1.4646630653323542E-2</v>
      </c>
    </row>
    <row r="49" spans="1:7" ht="15.75">
      <c r="A49" s="422" t="s">
        <v>162</v>
      </c>
      <c r="B49" s="422" t="s">
        <v>58</v>
      </c>
      <c r="C49" s="424" t="s">
        <v>59</v>
      </c>
      <c r="D49" s="411">
        <f>'B1'!D54</f>
        <v>5.03</v>
      </c>
      <c r="E49" s="411">
        <f t="shared" si="2"/>
        <v>3.5132356788849513E-3</v>
      </c>
      <c r="F49" s="411">
        <f>'B6'!H52</f>
        <v>5.03</v>
      </c>
      <c r="G49" s="416">
        <f t="shared" si="3"/>
        <v>3.5132356788849504E-3</v>
      </c>
    </row>
    <row r="50" spans="1:7" ht="15.75">
      <c r="A50" s="422" t="s">
        <v>163</v>
      </c>
      <c r="B50" s="422" t="s">
        <v>60</v>
      </c>
      <c r="C50" s="424" t="s">
        <v>61</v>
      </c>
      <c r="D50" s="411">
        <f>'B1'!D55</f>
        <v>0</v>
      </c>
      <c r="E50" s="411">
        <f t="shared" si="2"/>
        <v>0</v>
      </c>
      <c r="F50" s="411">
        <f>'B6'!H53</f>
        <v>0</v>
      </c>
      <c r="G50" s="416">
        <f t="shared" si="3"/>
        <v>0</v>
      </c>
    </row>
    <row r="51" spans="1:7" ht="15.75">
      <c r="A51" s="422" t="s">
        <v>164</v>
      </c>
      <c r="B51" s="422" t="s">
        <v>71</v>
      </c>
      <c r="C51" s="424" t="s">
        <v>72</v>
      </c>
      <c r="D51" s="411">
        <f>'B1'!D56</f>
        <v>0.27</v>
      </c>
      <c r="E51" s="411">
        <f t="shared" si="2"/>
        <v>1.8858322729601131E-4</v>
      </c>
      <c r="F51" s="411">
        <f>'B6'!H54</f>
        <v>0.27</v>
      </c>
      <c r="G51" s="416">
        <f t="shared" si="3"/>
        <v>1.8858322729601126E-4</v>
      </c>
    </row>
    <row r="52" spans="1:7" ht="15.75">
      <c r="A52" s="422" t="s">
        <v>165</v>
      </c>
      <c r="B52" s="422" t="s">
        <v>181</v>
      </c>
      <c r="C52" s="424" t="s">
        <v>74</v>
      </c>
      <c r="D52" s="411">
        <f>'B1'!D57</f>
        <v>1001.0600000000002</v>
      </c>
      <c r="E52" s="411">
        <f t="shared" si="2"/>
        <v>0.69919676117387075</v>
      </c>
      <c r="F52" s="411">
        <f>'B6'!H55</f>
        <v>988.56000000000017</v>
      </c>
      <c r="G52" s="416">
        <f t="shared" si="3"/>
        <v>0.69046605620646262</v>
      </c>
    </row>
    <row r="53" spans="1:7" ht="15.75">
      <c r="A53" s="422" t="s">
        <v>166</v>
      </c>
      <c r="B53" s="422" t="s">
        <v>75</v>
      </c>
      <c r="C53" s="424" t="s">
        <v>76</v>
      </c>
      <c r="D53" s="411">
        <f>'B1'!D58</f>
        <v>64.550000000000011</v>
      </c>
      <c r="E53" s="411">
        <f t="shared" si="2"/>
        <v>4.5085360451694562E-2</v>
      </c>
      <c r="F53" s="411">
        <f>'B6'!H56</f>
        <v>64.550000000000011</v>
      </c>
      <c r="G53" s="416">
        <f t="shared" si="3"/>
        <v>4.5085360451694548E-2</v>
      </c>
    </row>
    <row r="54" spans="1:7" ht="15.75">
      <c r="A54" s="422" t="s">
        <v>167</v>
      </c>
      <c r="B54" s="422" t="s">
        <v>77</v>
      </c>
      <c r="C54" s="424" t="s">
        <v>78</v>
      </c>
      <c r="D54" s="411">
        <f>'B1'!D59</f>
        <v>1.41</v>
      </c>
      <c r="E54" s="411">
        <f t="shared" si="2"/>
        <v>9.8482352032361439E-4</v>
      </c>
      <c r="F54" s="411">
        <f>'B6'!H57</f>
        <v>14.63</v>
      </c>
      <c r="G54" s="416">
        <f t="shared" si="3"/>
        <v>1.0218417093854239E-2</v>
      </c>
    </row>
    <row r="55" spans="1:7" s="10" customFormat="1" ht="15.75">
      <c r="A55" s="423">
        <v>3</v>
      </c>
      <c r="B55" s="423" t="s">
        <v>79</v>
      </c>
      <c r="C55" s="425" t="s">
        <v>80</v>
      </c>
      <c r="D55" s="410">
        <f>'B1'!D60</f>
        <v>170.91000000000003</v>
      </c>
      <c r="E55" s="410">
        <f t="shared" si="2"/>
        <v>0.11937318287837517</v>
      </c>
      <c r="F55" s="410">
        <f>'B6'!H58</f>
        <v>155.36000000000001</v>
      </c>
      <c r="G55" s="412">
        <f t="shared" si="3"/>
        <v>0.10851218589891967</v>
      </c>
    </row>
  </sheetData>
  <mergeCells count="6">
    <mergeCell ref="H1:H2"/>
    <mergeCell ref="A1:A3"/>
    <mergeCell ref="B1:B3"/>
    <mergeCell ref="C1:C3"/>
    <mergeCell ref="D1:E1"/>
    <mergeCell ref="F1:G1"/>
  </mergeCells>
  <pageMargins left="0.7" right="0.3"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sqref="A1:E13"/>
    </sheetView>
  </sheetViews>
  <sheetFormatPr defaultRowHeight="12.75"/>
  <cols>
    <col min="1" max="1" width="5.28515625" customWidth="1"/>
    <col min="2" max="2" width="17.7109375" customWidth="1"/>
    <col min="3" max="3" width="20.7109375" customWidth="1"/>
    <col min="4" max="4" width="22.42578125" customWidth="1"/>
    <col min="5" max="5" width="11.85546875" customWidth="1"/>
  </cols>
  <sheetData>
    <row r="1" spans="1:5" ht="33" customHeight="1">
      <c r="A1" s="214" t="s">
        <v>251</v>
      </c>
      <c r="B1" s="215" t="s">
        <v>250</v>
      </c>
      <c r="C1" s="215" t="s">
        <v>501</v>
      </c>
      <c r="D1" s="215" t="s">
        <v>500</v>
      </c>
      <c r="E1" s="215" t="s">
        <v>249</v>
      </c>
    </row>
    <row r="2" spans="1:5" ht="16.5">
      <c r="A2" s="216">
        <v>1</v>
      </c>
      <c r="B2" s="217" t="s">
        <v>168</v>
      </c>
      <c r="C2" s="218">
        <v>14.42</v>
      </c>
      <c r="D2" s="218">
        <v>12.02</v>
      </c>
      <c r="E2" s="219">
        <f t="shared" ref="E2:E12" si="0">D2-C2</f>
        <v>-2.4000000000000004</v>
      </c>
    </row>
    <row r="3" spans="1:5" ht="16.5">
      <c r="A3" s="216">
        <v>2</v>
      </c>
      <c r="B3" s="217" t="s">
        <v>121</v>
      </c>
      <c r="C3" s="218">
        <v>0.59</v>
      </c>
      <c r="D3" s="218">
        <v>0.49</v>
      </c>
      <c r="E3" s="219">
        <f t="shared" si="0"/>
        <v>-9.9999999999999978E-2</v>
      </c>
    </row>
    <row r="4" spans="1:5" ht="16.5">
      <c r="A4" s="216">
        <v>3</v>
      </c>
      <c r="B4" s="217" t="s">
        <v>120</v>
      </c>
      <c r="C4" s="218">
        <v>1.9</v>
      </c>
      <c r="D4" s="218">
        <v>3.65</v>
      </c>
      <c r="E4" s="220">
        <f t="shared" si="0"/>
        <v>1.75</v>
      </c>
    </row>
    <row r="5" spans="1:5" ht="16.5">
      <c r="A5" s="216">
        <v>4</v>
      </c>
      <c r="B5" s="217" t="s">
        <v>119</v>
      </c>
      <c r="C5" s="218">
        <v>0.36</v>
      </c>
      <c r="D5" s="218">
        <v>0.36</v>
      </c>
      <c r="E5" s="219">
        <f t="shared" si="0"/>
        <v>0</v>
      </c>
    </row>
    <row r="6" spans="1:5" ht="16.5">
      <c r="A6" s="216">
        <v>5</v>
      </c>
      <c r="B6" s="217" t="s">
        <v>114</v>
      </c>
      <c r="C6" s="218">
        <v>0.56000000000000005</v>
      </c>
      <c r="D6" s="219">
        <v>0.48000000000000004</v>
      </c>
      <c r="E6" s="219">
        <f t="shared" si="0"/>
        <v>-8.0000000000000016E-2</v>
      </c>
    </row>
    <row r="7" spans="1:5" ht="16.5">
      <c r="A7" s="216">
        <v>6</v>
      </c>
      <c r="B7" s="217" t="s">
        <v>113</v>
      </c>
      <c r="C7" s="218">
        <v>0.27</v>
      </c>
      <c r="D7" s="219">
        <v>0.27</v>
      </c>
      <c r="E7" s="219">
        <f t="shared" si="0"/>
        <v>0</v>
      </c>
    </row>
    <row r="8" spans="1:5" ht="16.5">
      <c r="A8" s="216">
        <v>7</v>
      </c>
      <c r="B8" s="217" t="s">
        <v>117</v>
      </c>
      <c r="C8" s="218">
        <v>0.92</v>
      </c>
      <c r="D8" s="219">
        <v>0.92</v>
      </c>
      <c r="E8" s="219">
        <f t="shared" si="0"/>
        <v>0</v>
      </c>
    </row>
    <row r="9" spans="1:5" ht="16.5">
      <c r="A9" s="216">
        <v>8</v>
      </c>
      <c r="B9" s="217" t="s">
        <v>112</v>
      </c>
      <c r="C9" s="218">
        <v>0.39</v>
      </c>
      <c r="D9" s="219">
        <v>0.39</v>
      </c>
      <c r="E9" s="219">
        <f t="shared" si="0"/>
        <v>0</v>
      </c>
    </row>
    <row r="10" spans="1:5" ht="16.5">
      <c r="A10" s="216">
        <v>9</v>
      </c>
      <c r="B10" s="217" t="s">
        <v>115</v>
      </c>
      <c r="C10" s="218">
        <v>0.89</v>
      </c>
      <c r="D10" s="219">
        <v>0.89</v>
      </c>
      <c r="E10" s="219">
        <f t="shared" si="0"/>
        <v>0</v>
      </c>
    </row>
    <row r="11" spans="1:5" ht="16.5">
      <c r="A11" s="216">
        <v>10</v>
      </c>
      <c r="B11" s="217" t="s">
        <v>116</v>
      </c>
      <c r="C11" s="218">
        <v>1.32</v>
      </c>
      <c r="D11" s="219">
        <v>1.1600000000000001</v>
      </c>
      <c r="E11" s="219">
        <f t="shared" si="0"/>
        <v>-0.15999999999999992</v>
      </c>
    </row>
    <row r="12" spans="1:5" ht="16.5">
      <c r="A12" s="216">
        <v>11</v>
      </c>
      <c r="B12" s="217" t="s">
        <v>118</v>
      </c>
      <c r="C12" s="218">
        <v>0.34</v>
      </c>
      <c r="D12" s="219">
        <v>0.34</v>
      </c>
      <c r="E12" s="219">
        <f t="shared" si="0"/>
        <v>0</v>
      </c>
    </row>
    <row r="13" spans="1:5" ht="16.5">
      <c r="A13" s="718" t="s">
        <v>248</v>
      </c>
      <c r="B13" s="718"/>
      <c r="C13" s="221">
        <f>SUM(C2:C12)</f>
        <v>21.96</v>
      </c>
      <c r="D13" s="221">
        <f>SUM(D2:D12)</f>
        <v>20.970000000000002</v>
      </c>
      <c r="E13" s="221">
        <f>SUM(E2:E12)</f>
        <v>-0.99000000000000044</v>
      </c>
    </row>
  </sheetData>
  <mergeCells count="1">
    <mergeCell ref="A13:B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opLeftCell="C34" workbookViewId="0">
      <selection activeCell="D47" sqref="D47"/>
    </sheetView>
  </sheetViews>
  <sheetFormatPr defaultColWidth="9.140625" defaultRowHeight="15.75"/>
  <cols>
    <col min="1" max="1" width="5.28515625" style="145" customWidth="1"/>
    <col min="2" max="2" width="41.42578125" style="145" customWidth="1"/>
    <col min="3" max="3" width="8.42578125" style="426" customWidth="1"/>
    <col min="4" max="4" width="13.5703125" style="145" customWidth="1"/>
    <col min="5" max="5" width="12.42578125" style="145" bestFit="1" customWidth="1"/>
    <col min="6" max="6" width="11.85546875" style="30" customWidth="1"/>
    <col min="7" max="8" width="9.140625" style="145"/>
    <col min="9" max="10" width="9.85546875" style="145" bestFit="1" customWidth="1"/>
    <col min="11" max="16384" width="9.140625" style="145"/>
  </cols>
  <sheetData>
    <row r="1" spans="1:10" ht="30" customHeight="1">
      <c r="A1" s="714" t="s">
        <v>1</v>
      </c>
      <c r="B1" s="714" t="s">
        <v>2</v>
      </c>
      <c r="C1" s="714" t="s">
        <v>3</v>
      </c>
      <c r="D1" s="704" t="s">
        <v>579</v>
      </c>
      <c r="E1" s="704" t="s">
        <v>499</v>
      </c>
      <c r="F1" s="709" t="s">
        <v>586</v>
      </c>
      <c r="G1" s="151"/>
      <c r="H1" s="151"/>
    </row>
    <row r="2" spans="1:10" ht="2.25" hidden="1" customHeight="1">
      <c r="A2" s="714"/>
      <c r="B2" s="714"/>
      <c r="C2" s="714"/>
      <c r="D2" s="409"/>
      <c r="E2" s="409"/>
      <c r="F2" s="422"/>
    </row>
    <row r="3" spans="1:10" s="10" customFormat="1">
      <c r="A3" s="704"/>
      <c r="B3" s="704" t="s">
        <v>131</v>
      </c>
      <c r="C3" s="704"/>
      <c r="D3" s="410">
        <f>'B1'!D8</f>
        <v>143172.85999999999</v>
      </c>
      <c r="E3" s="410">
        <f>'B6'!H6</f>
        <v>143172.86000000002</v>
      </c>
      <c r="F3" s="708">
        <f>E3-D3</f>
        <v>0</v>
      </c>
      <c r="G3" s="148">
        <f t="shared" ref="G3:G42" si="0">E3-F3</f>
        <v>143172.86000000002</v>
      </c>
      <c r="H3" s="148"/>
      <c r="J3" s="148">
        <f>E4-131431.1</f>
        <v>2881.2399999999616</v>
      </c>
    </row>
    <row r="4" spans="1:10" s="10" customFormat="1">
      <c r="A4" s="704">
        <v>1</v>
      </c>
      <c r="B4" s="413" t="s">
        <v>6</v>
      </c>
      <c r="C4" s="704" t="s">
        <v>7</v>
      </c>
      <c r="D4" s="410">
        <f>'B1'!D10</f>
        <v>134748.66999999998</v>
      </c>
      <c r="E4" s="410">
        <f>'B6'!H8</f>
        <v>134312.33999999997</v>
      </c>
      <c r="F4" s="708">
        <f t="shared" ref="F4:F54" si="1">E4-D4</f>
        <v>-436.3300000000163</v>
      </c>
      <c r="G4" s="148">
        <f t="shared" si="0"/>
        <v>134748.66999999998</v>
      </c>
      <c r="H4" s="148"/>
    </row>
    <row r="5" spans="1:10">
      <c r="A5" s="414" t="s">
        <v>139</v>
      </c>
      <c r="B5" s="415" t="s">
        <v>8</v>
      </c>
      <c r="C5" s="414" t="s">
        <v>9</v>
      </c>
      <c r="D5" s="411">
        <f>'B1'!D11</f>
        <v>1206.1199999999999</v>
      </c>
      <c r="E5" s="411">
        <f>'B6'!H9</f>
        <v>1197.1199999999999</v>
      </c>
      <c r="F5" s="708">
        <f t="shared" si="1"/>
        <v>-9</v>
      </c>
      <c r="G5" s="148">
        <f t="shared" si="0"/>
        <v>1206.1199999999999</v>
      </c>
      <c r="H5" s="148"/>
      <c r="I5" s="145" t="str">
        <f>D1</f>
        <v xml:space="preserve">Hiện trạng sử dụng đất đến năm 2021 </v>
      </c>
      <c r="J5" s="145" t="str">
        <f>E1</f>
        <v>Kế hoạch sử dụng đất năm 2022</v>
      </c>
    </row>
    <row r="6" spans="1:10">
      <c r="A6" s="414"/>
      <c r="B6" s="417" t="s">
        <v>10</v>
      </c>
      <c r="C6" s="418" t="s">
        <v>11</v>
      </c>
      <c r="D6" s="427">
        <f>'B1'!D12</f>
        <v>737.82999999999993</v>
      </c>
      <c r="E6" s="427">
        <f>'B6'!H10</f>
        <v>733.13000000000011</v>
      </c>
      <c r="F6" s="708">
        <f t="shared" si="1"/>
        <v>-4.6999999999998181</v>
      </c>
      <c r="G6" s="148">
        <f t="shared" si="0"/>
        <v>737.82999999999993</v>
      </c>
      <c r="H6" s="148" t="str">
        <f>B4</f>
        <v>Đất nông nghiệp</v>
      </c>
      <c r="I6" s="150">
        <f>D4</f>
        <v>134748.66999999998</v>
      </c>
      <c r="J6" s="150">
        <f>E4</f>
        <v>134312.33999999997</v>
      </c>
    </row>
    <row r="7" spans="1:10" s="113" customFormat="1">
      <c r="A7" s="420" t="s">
        <v>140</v>
      </c>
      <c r="B7" s="421" t="s">
        <v>12</v>
      </c>
      <c r="C7" s="420" t="s">
        <v>13</v>
      </c>
      <c r="D7" s="411">
        <f>'B1'!D13</f>
        <v>15442.13</v>
      </c>
      <c r="E7" s="411">
        <f>'B6'!H11</f>
        <v>14772.83</v>
      </c>
      <c r="F7" s="708">
        <f t="shared" si="1"/>
        <v>-669.29999999999927</v>
      </c>
      <c r="G7" s="146">
        <f t="shared" si="0"/>
        <v>15442.13</v>
      </c>
      <c r="H7" s="146" t="str">
        <f>B16</f>
        <v>Đất phi nông nghiệp</v>
      </c>
      <c r="I7" s="147">
        <f>D16</f>
        <v>8253.2800000000007</v>
      </c>
      <c r="J7" s="147">
        <f>E16</f>
        <v>8705.16</v>
      </c>
    </row>
    <row r="8" spans="1:10">
      <c r="A8" s="414" t="s">
        <v>141</v>
      </c>
      <c r="B8" s="415" t="s">
        <v>14</v>
      </c>
      <c r="C8" s="414" t="s">
        <v>15</v>
      </c>
      <c r="D8" s="411">
        <f>'B1'!D14</f>
        <v>27276.15</v>
      </c>
      <c r="E8" s="411">
        <f>'B6'!H12</f>
        <v>27032.239999999998</v>
      </c>
      <c r="F8" s="708">
        <f t="shared" si="1"/>
        <v>-243.91000000000349</v>
      </c>
      <c r="G8" s="148">
        <f t="shared" si="0"/>
        <v>27276.15</v>
      </c>
      <c r="H8" s="148" t="str">
        <f>B54</f>
        <v>Đất chưa sử dụng</v>
      </c>
      <c r="I8" s="150">
        <f>D54</f>
        <v>170.91000000000003</v>
      </c>
      <c r="J8" s="150">
        <f>E54</f>
        <v>155.36000000000001</v>
      </c>
    </row>
    <row r="9" spans="1:10">
      <c r="A9" s="414" t="s">
        <v>142</v>
      </c>
      <c r="B9" s="415" t="s">
        <v>16</v>
      </c>
      <c r="C9" s="414" t="s">
        <v>17</v>
      </c>
      <c r="D9" s="411">
        <f>'B1'!D15</f>
        <v>13322.6</v>
      </c>
      <c r="E9" s="411">
        <f>'B6'!H13</f>
        <v>13285.24</v>
      </c>
      <c r="F9" s="708">
        <f t="shared" si="1"/>
        <v>-37.360000000000582</v>
      </c>
      <c r="G9" s="148">
        <f t="shared" si="0"/>
        <v>13322.6</v>
      </c>
      <c r="H9" s="148"/>
    </row>
    <row r="10" spans="1:10">
      <c r="A10" s="414" t="s">
        <v>143</v>
      </c>
      <c r="B10" s="415" t="s">
        <v>18</v>
      </c>
      <c r="C10" s="414" t="s">
        <v>19</v>
      </c>
      <c r="D10" s="411">
        <f>'B1'!D16</f>
        <v>43026.239999999998</v>
      </c>
      <c r="E10" s="411">
        <f>'B6'!H14</f>
        <v>43004.24</v>
      </c>
      <c r="F10" s="708">
        <f t="shared" si="1"/>
        <v>-22</v>
      </c>
      <c r="G10" s="148">
        <f t="shared" si="0"/>
        <v>43026.239999999998</v>
      </c>
      <c r="H10" s="148"/>
    </row>
    <row r="11" spans="1:10">
      <c r="A11" s="414" t="s">
        <v>144</v>
      </c>
      <c r="B11" s="415" t="s">
        <v>20</v>
      </c>
      <c r="C11" s="414" t="s">
        <v>21</v>
      </c>
      <c r="D11" s="411">
        <f>'B1'!D17</f>
        <v>34255.929999999993</v>
      </c>
      <c r="E11" s="411">
        <f>'B6'!H15</f>
        <v>34743.35</v>
      </c>
      <c r="F11" s="708">
        <f t="shared" si="1"/>
        <v>487.42000000000553</v>
      </c>
      <c r="G11" s="148">
        <f t="shared" si="0"/>
        <v>34255.929999999993</v>
      </c>
      <c r="H11" s="148"/>
    </row>
    <row r="12" spans="1:10" s="119" customFormat="1" ht="15" customHeight="1">
      <c r="A12" s="418"/>
      <c r="B12" s="417" t="s">
        <v>277</v>
      </c>
      <c r="C12" s="418" t="s">
        <v>281</v>
      </c>
      <c r="D12" s="427">
        <f>'B1'!D18</f>
        <v>29661.95</v>
      </c>
      <c r="E12" s="427">
        <f>'B6'!H16</f>
        <v>29661.95</v>
      </c>
      <c r="F12" s="708">
        <f t="shared" si="1"/>
        <v>0</v>
      </c>
      <c r="G12" s="429">
        <f t="shared" si="0"/>
        <v>29661.95</v>
      </c>
      <c r="H12" s="429"/>
    </row>
    <row r="13" spans="1:10">
      <c r="A13" s="414" t="s">
        <v>145</v>
      </c>
      <c r="B13" s="415" t="s">
        <v>22</v>
      </c>
      <c r="C13" s="414" t="s">
        <v>23</v>
      </c>
      <c r="D13" s="411">
        <f>'B1'!D19</f>
        <v>122.69</v>
      </c>
      <c r="E13" s="411">
        <f>'B6'!H17</f>
        <v>129.5</v>
      </c>
      <c r="F13" s="708">
        <f t="shared" si="1"/>
        <v>6.8100000000000023</v>
      </c>
      <c r="G13" s="148">
        <f t="shared" si="0"/>
        <v>122.69</v>
      </c>
      <c r="H13" s="148"/>
    </row>
    <row r="14" spans="1:10">
      <c r="A14" s="414" t="s">
        <v>146</v>
      </c>
      <c r="B14" s="415" t="s">
        <v>24</v>
      </c>
      <c r="C14" s="414" t="s">
        <v>25</v>
      </c>
      <c r="D14" s="411">
        <f>'B1'!D20</f>
        <v>0</v>
      </c>
      <c r="E14" s="411">
        <f>'B6'!H18</f>
        <v>0</v>
      </c>
      <c r="F14" s="708">
        <f t="shared" si="1"/>
        <v>0</v>
      </c>
      <c r="G14" s="148">
        <f t="shared" si="0"/>
        <v>0</v>
      </c>
      <c r="H14" s="148"/>
    </row>
    <row r="15" spans="1:10">
      <c r="A15" s="414" t="s">
        <v>147</v>
      </c>
      <c r="B15" s="415" t="s">
        <v>26</v>
      </c>
      <c r="C15" s="414" t="s">
        <v>27</v>
      </c>
      <c r="D15" s="411">
        <f>'B1'!D21</f>
        <v>96.81</v>
      </c>
      <c r="E15" s="411">
        <f>'B6'!H19</f>
        <v>147.82</v>
      </c>
      <c r="F15" s="708">
        <f t="shared" si="1"/>
        <v>51.009999999999991</v>
      </c>
      <c r="G15" s="150">
        <f t="shared" si="0"/>
        <v>96.81</v>
      </c>
      <c r="H15" s="150"/>
    </row>
    <row r="16" spans="1:10" s="10" customFormat="1">
      <c r="A16" s="704">
        <v>2</v>
      </c>
      <c r="B16" s="413" t="s">
        <v>28</v>
      </c>
      <c r="C16" s="704" t="s">
        <v>29</v>
      </c>
      <c r="D16" s="410">
        <f>'B1'!D22</f>
        <v>8253.2800000000007</v>
      </c>
      <c r="E16" s="410">
        <f>'B6'!H20</f>
        <v>8705.16</v>
      </c>
      <c r="F16" s="708">
        <f t="shared" si="1"/>
        <v>451.8799999999992</v>
      </c>
      <c r="G16" s="148">
        <f t="shared" si="0"/>
        <v>8253.2800000000007</v>
      </c>
      <c r="H16" s="148"/>
    </row>
    <row r="17" spans="1:11">
      <c r="A17" s="414" t="s">
        <v>148</v>
      </c>
      <c r="B17" s="415" t="s">
        <v>30</v>
      </c>
      <c r="C17" s="414" t="s">
        <v>31</v>
      </c>
      <c r="D17" s="411">
        <f>'B1'!D23</f>
        <v>117.53</v>
      </c>
      <c r="E17" s="411">
        <f>'B6'!H21</f>
        <v>119.86999999999999</v>
      </c>
      <c r="F17" s="708">
        <f t="shared" si="1"/>
        <v>2.3399999999999892</v>
      </c>
      <c r="G17" s="148">
        <f t="shared" si="0"/>
        <v>117.53</v>
      </c>
      <c r="H17" s="148"/>
    </row>
    <row r="18" spans="1:11">
      <c r="A18" s="414" t="s">
        <v>138</v>
      </c>
      <c r="B18" s="415" t="s">
        <v>32</v>
      </c>
      <c r="C18" s="414" t="s">
        <v>33</v>
      </c>
      <c r="D18" s="411">
        <f>'B1'!D24</f>
        <v>0.97</v>
      </c>
      <c r="E18" s="411">
        <f>'B6'!H22</f>
        <v>3.4099999999999997</v>
      </c>
      <c r="F18" s="708">
        <f t="shared" si="1"/>
        <v>2.4399999999999995</v>
      </c>
      <c r="G18" s="148">
        <f t="shared" si="0"/>
        <v>0.9700000000000002</v>
      </c>
      <c r="H18" s="148"/>
    </row>
    <row r="19" spans="1:11">
      <c r="A19" s="414" t="s">
        <v>149</v>
      </c>
      <c r="B19" s="415" t="s">
        <v>34</v>
      </c>
      <c r="C19" s="414" t="s">
        <v>35</v>
      </c>
      <c r="D19" s="411">
        <f>'B1'!D25</f>
        <v>0</v>
      </c>
      <c r="E19" s="411">
        <f>'B6'!H23</f>
        <v>0</v>
      </c>
      <c r="F19" s="708">
        <f t="shared" si="1"/>
        <v>0</v>
      </c>
      <c r="G19" s="148">
        <f t="shared" si="0"/>
        <v>0</v>
      </c>
      <c r="H19" s="148"/>
    </row>
    <row r="20" spans="1:11">
      <c r="A20" s="414" t="s">
        <v>150</v>
      </c>
      <c r="B20" s="415" t="s">
        <v>36</v>
      </c>
      <c r="C20" s="414" t="s">
        <v>37</v>
      </c>
      <c r="D20" s="411">
        <f>'B1'!D26</f>
        <v>0</v>
      </c>
      <c r="E20" s="411">
        <f>'B6'!H24</f>
        <v>25</v>
      </c>
      <c r="F20" s="708">
        <f t="shared" si="1"/>
        <v>25</v>
      </c>
      <c r="G20" s="148">
        <f t="shared" si="0"/>
        <v>0</v>
      </c>
      <c r="H20" s="148"/>
    </row>
    <row r="21" spans="1:11">
      <c r="A21" s="414" t="s">
        <v>151</v>
      </c>
      <c r="B21" s="415" t="s">
        <v>38</v>
      </c>
      <c r="C21" s="414" t="s">
        <v>39</v>
      </c>
      <c r="D21" s="411">
        <f>'B1'!D27</f>
        <v>5.169999999999999</v>
      </c>
      <c r="E21" s="411">
        <f>'B6'!H25</f>
        <v>5.169999999999999</v>
      </c>
      <c r="F21" s="708">
        <f t="shared" si="1"/>
        <v>0</v>
      </c>
      <c r="G21" s="148">
        <f t="shared" si="0"/>
        <v>5.169999999999999</v>
      </c>
      <c r="H21" s="148"/>
    </row>
    <row r="22" spans="1:11">
      <c r="A22" s="414" t="s">
        <v>152</v>
      </c>
      <c r="B22" s="415" t="s">
        <v>40</v>
      </c>
      <c r="C22" s="414" t="s">
        <v>41</v>
      </c>
      <c r="D22" s="411">
        <f>'B1'!D28</f>
        <v>55.789999999999992</v>
      </c>
      <c r="E22" s="411">
        <f>'B6'!H26</f>
        <v>84.859999999999985</v>
      </c>
      <c r="F22" s="708">
        <f t="shared" si="1"/>
        <v>29.069999999999993</v>
      </c>
      <c r="G22" s="148">
        <f t="shared" si="0"/>
        <v>55.789999999999992</v>
      </c>
      <c r="H22" s="148"/>
    </row>
    <row r="23" spans="1:11">
      <c r="A23" s="414" t="s">
        <v>153</v>
      </c>
      <c r="B23" s="415" t="s">
        <v>42</v>
      </c>
      <c r="C23" s="414" t="s">
        <v>43</v>
      </c>
      <c r="D23" s="411">
        <f>'B1'!D29</f>
        <v>4.66</v>
      </c>
      <c r="E23" s="411">
        <f>'B6'!H27</f>
        <v>4.66</v>
      </c>
      <c r="F23" s="708">
        <f t="shared" si="1"/>
        <v>0</v>
      </c>
      <c r="G23" s="148">
        <f t="shared" si="0"/>
        <v>4.66</v>
      </c>
      <c r="H23" s="148"/>
    </row>
    <row r="24" spans="1:11">
      <c r="A24" s="414" t="s">
        <v>154</v>
      </c>
      <c r="B24" s="415" t="s">
        <v>179</v>
      </c>
      <c r="C24" s="414" t="s">
        <v>66</v>
      </c>
      <c r="D24" s="411">
        <f>'B1'!D30</f>
        <v>22.740000000000002</v>
      </c>
      <c r="E24" s="411">
        <f>'B6'!H28</f>
        <v>31.64</v>
      </c>
      <c r="F24" s="708">
        <f t="shared" si="1"/>
        <v>8.8999999999999986</v>
      </c>
      <c r="G24" s="148">
        <f t="shared" si="0"/>
        <v>22.740000000000002</v>
      </c>
      <c r="H24" s="148"/>
    </row>
    <row r="25" spans="1:11">
      <c r="A25" s="414" t="s">
        <v>155</v>
      </c>
      <c r="B25" s="415" t="s">
        <v>180</v>
      </c>
      <c r="C25" s="414" t="s">
        <v>45</v>
      </c>
      <c r="D25" s="411">
        <f>'B1'!D31</f>
        <v>6091.9400000000005</v>
      </c>
      <c r="E25" s="411">
        <f>'B6'!H29</f>
        <v>6385.2900000000009</v>
      </c>
      <c r="F25" s="708">
        <f t="shared" si="1"/>
        <v>293.35000000000036</v>
      </c>
      <c r="G25" s="148">
        <f t="shared" si="0"/>
        <v>6091.9400000000005</v>
      </c>
      <c r="H25" s="148"/>
    </row>
    <row r="26" spans="1:11">
      <c r="A26" s="414"/>
      <c r="B26" s="415" t="s">
        <v>228</v>
      </c>
      <c r="C26" s="414" t="s">
        <v>196</v>
      </c>
      <c r="D26" s="411">
        <f>'B1'!D32</f>
        <v>1160.3399999999999</v>
      </c>
      <c r="E26" s="411">
        <f>'B6'!H30</f>
        <v>1319.0300000000002</v>
      </c>
      <c r="F26" s="708">
        <f t="shared" si="1"/>
        <v>158.69000000000028</v>
      </c>
      <c r="G26" s="148">
        <f t="shared" si="0"/>
        <v>1160.3399999999999</v>
      </c>
      <c r="H26" s="148"/>
    </row>
    <row r="27" spans="1:11">
      <c r="A27" s="414"/>
      <c r="B27" s="415" t="s">
        <v>229</v>
      </c>
      <c r="C27" s="414" t="s">
        <v>194</v>
      </c>
      <c r="D27" s="411">
        <f>'B1'!D33</f>
        <v>92.570000000000007</v>
      </c>
      <c r="E27" s="411">
        <f>'B6'!H31</f>
        <v>162.96999999999997</v>
      </c>
      <c r="F27" s="708">
        <f t="shared" si="1"/>
        <v>70.399999999999963</v>
      </c>
      <c r="G27" s="148">
        <f t="shared" si="0"/>
        <v>92.570000000000007</v>
      </c>
      <c r="H27" s="148"/>
      <c r="K27" s="145">
        <f>12000*12</f>
        <v>144000</v>
      </c>
    </row>
    <row r="28" spans="1:11">
      <c r="A28" s="414"/>
      <c r="B28" s="415" t="s">
        <v>222</v>
      </c>
      <c r="C28" s="414" t="s">
        <v>232</v>
      </c>
      <c r="D28" s="411">
        <f>'B1'!D34</f>
        <v>6.18</v>
      </c>
      <c r="E28" s="411">
        <f>'B6'!H32</f>
        <v>6.2299999999999995</v>
      </c>
      <c r="F28" s="708">
        <f t="shared" si="1"/>
        <v>4.9999999999999822E-2</v>
      </c>
      <c r="G28" s="148">
        <f t="shared" si="0"/>
        <v>6.18</v>
      </c>
      <c r="H28" s="148"/>
      <c r="J28" s="150">
        <f>8050.81-E15</f>
        <v>7902.9900000000007</v>
      </c>
      <c r="K28" s="145">
        <f>K27/10000</f>
        <v>14.4</v>
      </c>
    </row>
    <row r="29" spans="1:11">
      <c r="A29" s="414"/>
      <c r="B29" s="415" t="s">
        <v>223</v>
      </c>
      <c r="C29" s="414" t="s">
        <v>233</v>
      </c>
      <c r="D29" s="411">
        <f>'B1'!D35</f>
        <v>4.96</v>
      </c>
      <c r="E29" s="411">
        <f>'B6'!H33</f>
        <v>4.96</v>
      </c>
      <c r="F29" s="708">
        <f t="shared" si="1"/>
        <v>0</v>
      </c>
      <c r="G29" s="148">
        <f t="shared" si="0"/>
        <v>4.96</v>
      </c>
      <c r="H29" s="148"/>
    </row>
    <row r="30" spans="1:11">
      <c r="A30" s="414"/>
      <c r="B30" s="415" t="s">
        <v>224</v>
      </c>
      <c r="C30" s="414" t="s">
        <v>192</v>
      </c>
      <c r="D30" s="411">
        <f>'B1'!D36</f>
        <v>61.53</v>
      </c>
      <c r="E30" s="411">
        <f>'B6'!H34</f>
        <v>62.94</v>
      </c>
      <c r="F30" s="708">
        <f t="shared" si="1"/>
        <v>1.4099999999999966</v>
      </c>
      <c r="G30" s="148">
        <f t="shared" si="0"/>
        <v>61.53</v>
      </c>
      <c r="H30" s="148"/>
    </row>
    <row r="31" spans="1:11">
      <c r="A31" s="414"/>
      <c r="B31" s="415" t="s">
        <v>225</v>
      </c>
      <c r="C31" s="414" t="s">
        <v>195</v>
      </c>
      <c r="D31" s="411">
        <f>'B1'!D37</f>
        <v>16.670000000000002</v>
      </c>
      <c r="E31" s="411">
        <f>'B6'!H35</f>
        <v>16.690000000000001</v>
      </c>
      <c r="F31" s="708">
        <f t="shared" si="1"/>
        <v>1.9999999999999574E-2</v>
      </c>
      <c r="G31" s="148">
        <f t="shared" si="0"/>
        <v>16.670000000000002</v>
      </c>
      <c r="H31" s="148"/>
    </row>
    <row r="32" spans="1:11">
      <c r="A32" s="414"/>
      <c r="B32" s="415" t="s">
        <v>282</v>
      </c>
      <c r="C32" s="414" t="s">
        <v>193</v>
      </c>
      <c r="D32" s="411">
        <f>'B1'!D38</f>
        <v>4617.17</v>
      </c>
      <c r="E32" s="411">
        <f>'B6'!H36</f>
        <v>4656.55</v>
      </c>
      <c r="F32" s="708">
        <f t="shared" si="1"/>
        <v>39.380000000000109</v>
      </c>
      <c r="G32" s="148">
        <f t="shared" si="0"/>
        <v>4617.17</v>
      </c>
      <c r="H32" s="148"/>
    </row>
    <row r="33" spans="1:8">
      <c r="A33" s="414"/>
      <c r="B33" s="415" t="s">
        <v>230</v>
      </c>
      <c r="C33" s="414" t="s">
        <v>236</v>
      </c>
      <c r="D33" s="411">
        <f>'B1'!D39</f>
        <v>1.02</v>
      </c>
      <c r="E33" s="411">
        <f>'B6'!H37</f>
        <v>1.02</v>
      </c>
      <c r="F33" s="708">
        <f t="shared" si="1"/>
        <v>0</v>
      </c>
      <c r="G33" s="148">
        <f t="shared" si="0"/>
        <v>1.02</v>
      </c>
      <c r="H33" s="148"/>
    </row>
    <row r="34" spans="1:8">
      <c r="A34" s="414"/>
      <c r="B34" s="415" t="s">
        <v>278</v>
      </c>
      <c r="C34" s="414" t="s">
        <v>279</v>
      </c>
      <c r="D34" s="411">
        <f>'B1'!D40</f>
        <v>0</v>
      </c>
      <c r="E34" s="411">
        <f>'B6'!H38</f>
        <v>0</v>
      </c>
      <c r="F34" s="708">
        <f t="shared" si="1"/>
        <v>0</v>
      </c>
      <c r="G34" s="148">
        <f t="shared" si="0"/>
        <v>0</v>
      </c>
      <c r="H34" s="148"/>
    </row>
    <row r="35" spans="1:8">
      <c r="A35" s="414"/>
      <c r="B35" s="415" t="s">
        <v>46</v>
      </c>
      <c r="C35" s="414" t="s">
        <v>47</v>
      </c>
      <c r="D35" s="411">
        <f>'B1'!D41</f>
        <v>3.86</v>
      </c>
      <c r="E35" s="411">
        <f>'B6'!H39</f>
        <v>3.86</v>
      </c>
      <c r="F35" s="708">
        <f t="shared" si="1"/>
        <v>0</v>
      </c>
      <c r="G35" s="148">
        <f t="shared" si="0"/>
        <v>3.86</v>
      </c>
      <c r="H35" s="148"/>
    </row>
    <row r="36" spans="1:8">
      <c r="A36" s="414"/>
      <c r="B36" s="415" t="s">
        <v>50</v>
      </c>
      <c r="C36" s="414" t="s">
        <v>51</v>
      </c>
      <c r="D36" s="411">
        <f>'B1'!D42</f>
        <v>2.65</v>
      </c>
      <c r="E36" s="411">
        <f>'B6'!H40</f>
        <v>21.15</v>
      </c>
      <c r="F36" s="708">
        <f t="shared" si="1"/>
        <v>18.5</v>
      </c>
      <c r="G36" s="148">
        <f t="shared" si="0"/>
        <v>2.6499999999999986</v>
      </c>
      <c r="H36" s="148"/>
    </row>
    <row r="37" spans="1:8">
      <c r="A37" s="414"/>
      <c r="B37" s="415" t="s">
        <v>62</v>
      </c>
      <c r="C37" s="414" t="s">
        <v>63</v>
      </c>
      <c r="D37" s="411">
        <f>'B1'!D43</f>
        <v>5.8500000000000005</v>
      </c>
      <c r="E37" s="411">
        <f>'B6'!H41</f>
        <v>5.8500000000000005</v>
      </c>
      <c r="F37" s="708">
        <f t="shared" si="1"/>
        <v>0</v>
      </c>
      <c r="G37" s="148">
        <f t="shared" si="0"/>
        <v>5.8500000000000005</v>
      </c>
      <c r="H37" s="148"/>
    </row>
    <row r="38" spans="1:8">
      <c r="A38" s="414"/>
      <c r="B38" s="415" t="s">
        <v>280</v>
      </c>
      <c r="C38" s="414" t="s">
        <v>64</v>
      </c>
      <c r="D38" s="411">
        <f>'B1'!D44</f>
        <v>116.25</v>
      </c>
      <c r="E38" s="411">
        <f>'B6'!H42</f>
        <v>120.85</v>
      </c>
      <c r="F38" s="708">
        <f t="shared" si="1"/>
        <v>4.5999999999999943</v>
      </c>
      <c r="G38" s="148">
        <f t="shared" si="0"/>
        <v>116.25</v>
      </c>
      <c r="H38" s="148"/>
    </row>
    <row r="39" spans="1:8">
      <c r="A39" s="414"/>
      <c r="B39" s="415" t="s">
        <v>226</v>
      </c>
      <c r="C39" s="414" t="s">
        <v>234</v>
      </c>
      <c r="D39" s="411">
        <f>'B1'!D45</f>
        <v>0</v>
      </c>
      <c r="E39" s="411">
        <f>'B6'!H43</f>
        <v>0</v>
      </c>
      <c r="F39" s="708">
        <f t="shared" si="1"/>
        <v>0</v>
      </c>
      <c r="G39" s="148">
        <f t="shared" si="0"/>
        <v>0</v>
      </c>
      <c r="H39" s="148"/>
    </row>
    <row r="40" spans="1:8">
      <c r="A40" s="414"/>
      <c r="B40" s="415" t="s">
        <v>227</v>
      </c>
      <c r="C40" s="414" t="s">
        <v>235</v>
      </c>
      <c r="D40" s="411">
        <f>'B1'!D46</f>
        <v>0.66</v>
      </c>
      <c r="E40" s="411">
        <f>'B6'!H44</f>
        <v>0.66</v>
      </c>
      <c r="F40" s="708">
        <f t="shared" si="1"/>
        <v>0</v>
      </c>
      <c r="G40" s="148">
        <f t="shared" si="0"/>
        <v>0.66</v>
      </c>
      <c r="H40" s="148"/>
    </row>
    <row r="41" spans="1:8">
      <c r="A41" s="414"/>
      <c r="B41" s="415" t="s">
        <v>231</v>
      </c>
      <c r="C41" s="414" t="s">
        <v>206</v>
      </c>
      <c r="D41" s="411">
        <f>'B1'!D47</f>
        <v>2.23</v>
      </c>
      <c r="E41" s="411">
        <f>'B6'!H45</f>
        <v>2.5299999999999998</v>
      </c>
      <c r="F41" s="708">
        <f t="shared" si="1"/>
        <v>0.29999999999999982</v>
      </c>
      <c r="G41" s="148">
        <f t="shared" si="0"/>
        <v>2.23</v>
      </c>
      <c r="H41" s="148"/>
    </row>
    <row r="42" spans="1:8">
      <c r="A42" s="414" t="s">
        <v>156</v>
      </c>
      <c r="B42" s="415" t="s">
        <v>48</v>
      </c>
      <c r="C42" s="414" t="s">
        <v>49</v>
      </c>
      <c r="D42" s="411">
        <f>'B1'!D48</f>
        <v>0</v>
      </c>
      <c r="E42" s="411">
        <f>'B6'!H46</f>
        <v>0</v>
      </c>
      <c r="F42" s="708">
        <f t="shared" si="1"/>
        <v>0</v>
      </c>
      <c r="G42" s="150">
        <f t="shared" si="0"/>
        <v>0</v>
      </c>
      <c r="H42" s="150"/>
    </row>
    <row r="43" spans="1:8">
      <c r="A43" s="414" t="s">
        <v>157</v>
      </c>
      <c r="B43" s="415" t="s">
        <v>67</v>
      </c>
      <c r="C43" s="414" t="s">
        <v>68</v>
      </c>
      <c r="D43" s="411">
        <f>'B1'!D49</f>
        <v>13.120000000000001</v>
      </c>
      <c r="E43" s="411">
        <f>'B6'!H47</f>
        <v>13.25</v>
      </c>
      <c r="F43" s="708">
        <f t="shared" si="1"/>
        <v>0.12999999999999901</v>
      </c>
    </row>
    <row r="44" spans="1:8">
      <c r="A44" s="414" t="s">
        <v>158</v>
      </c>
      <c r="B44" s="415" t="s">
        <v>69</v>
      </c>
      <c r="C44" s="414" t="s">
        <v>70</v>
      </c>
      <c r="D44" s="411">
        <f>'B1'!D50</f>
        <v>3.08</v>
      </c>
      <c r="E44" s="411">
        <f>'B6'!H48</f>
        <v>5.85</v>
      </c>
      <c r="F44" s="708">
        <f t="shared" si="1"/>
        <v>2.7699999999999996</v>
      </c>
    </row>
    <row r="45" spans="1:8">
      <c r="A45" s="414" t="s">
        <v>159</v>
      </c>
      <c r="B45" s="415" t="s">
        <v>52</v>
      </c>
      <c r="C45" s="414" t="s">
        <v>53</v>
      </c>
      <c r="D45" s="411">
        <f>'B1'!D51</f>
        <v>723.55</v>
      </c>
      <c r="E45" s="411">
        <f>'B6'!H49</f>
        <v>807.09</v>
      </c>
      <c r="F45" s="708">
        <f t="shared" si="1"/>
        <v>83.540000000000077</v>
      </c>
    </row>
    <row r="46" spans="1:8">
      <c r="A46" s="422" t="s">
        <v>160</v>
      </c>
      <c r="B46" s="422" t="s">
        <v>54</v>
      </c>
      <c r="C46" s="424" t="s">
        <v>55</v>
      </c>
      <c r="D46" s="411">
        <f>'B1'!D52</f>
        <v>120.44999999999999</v>
      </c>
      <c r="E46" s="411">
        <f>'B6'!H50</f>
        <v>125.06</v>
      </c>
      <c r="F46" s="708">
        <f t="shared" si="1"/>
        <v>4.6100000000000136</v>
      </c>
    </row>
    <row r="47" spans="1:8">
      <c r="A47" s="422" t="s">
        <v>161</v>
      </c>
      <c r="B47" s="422" t="s">
        <v>56</v>
      </c>
      <c r="C47" s="424" t="s">
        <v>57</v>
      </c>
      <c r="D47" s="411">
        <f>'B1'!D53</f>
        <v>21.96</v>
      </c>
      <c r="E47" s="411">
        <f>'B6'!H51</f>
        <v>20.970000000000002</v>
      </c>
      <c r="F47" s="708">
        <f t="shared" si="1"/>
        <v>-0.98999999999999844</v>
      </c>
    </row>
    <row r="48" spans="1:8">
      <c r="A48" s="422" t="s">
        <v>162</v>
      </c>
      <c r="B48" s="422" t="s">
        <v>58</v>
      </c>
      <c r="C48" s="424" t="s">
        <v>59</v>
      </c>
      <c r="D48" s="411">
        <f>'B1'!D54</f>
        <v>5.03</v>
      </c>
      <c r="E48" s="411">
        <f>'B6'!H52</f>
        <v>5.03</v>
      </c>
      <c r="F48" s="708">
        <f t="shared" si="1"/>
        <v>0</v>
      </c>
    </row>
    <row r="49" spans="1:6">
      <c r="A49" s="422" t="s">
        <v>163</v>
      </c>
      <c r="B49" s="422" t="s">
        <v>60</v>
      </c>
      <c r="C49" s="424" t="s">
        <v>61</v>
      </c>
      <c r="D49" s="411">
        <f>'B1'!D55</f>
        <v>0</v>
      </c>
      <c r="E49" s="411">
        <f>'B6'!H53</f>
        <v>0</v>
      </c>
      <c r="F49" s="708">
        <f t="shared" si="1"/>
        <v>0</v>
      </c>
    </row>
    <row r="50" spans="1:6">
      <c r="A50" s="422" t="s">
        <v>164</v>
      </c>
      <c r="B50" s="422" t="s">
        <v>71</v>
      </c>
      <c r="C50" s="424" t="s">
        <v>72</v>
      </c>
      <c r="D50" s="411">
        <f>'B1'!D56</f>
        <v>0.27</v>
      </c>
      <c r="E50" s="411">
        <f>'B6'!H54</f>
        <v>0.27</v>
      </c>
      <c r="F50" s="708">
        <f t="shared" si="1"/>
        <v>0</v>
      </c>
    </row>
    <row r="51" spans="1:6">
      <c r="A51" s="422" t="s">
        <v>165</v>
      </c>
      <c r="B51" s="422" t="s">
        <v>181</v>
      </c>
      <c r="C51" s="424" t="s">
        <v>74</v>
      </c>
      <c r="D51" s="411">
        <f>'B1'!D57</f>
        <v>1001.0600000000002</v>
      </c>
      <c r="E51" s="411">
        <f>'B6'!H55</f>
        <v>988.56000000000017</v>
      </c>
      <c r="F51" s="708">
        <f t="shared" si="1"/>
        <v>-12.5</v>
      </c>
    </row>
    <row r="52" spans="1:6">
      <c r="A52" s="422" t="s">
        <v>166</v>
      </c>
      <c r="B52" s="422" t="s">
        <v>75</v>
      </c>
      <c r="C52" s="424" t="s">
        <v>76</v>
      </c>
      <c r="D52" s="411">
        <f>'B1'!D58</f>
        <v>64.550000000000011</v>
      </c>
      <c r="E52" s="411">
        <f>'B6'!H56</f>
        <v>64.550000000000011</v>
      </c>
      <c r="F52" s="708">
        <f t="shared" si="1"/>
        <v>0</v>
      </c>
    </row>
    <row r="53" spans="1:6">
      <c r="A53" s="422" t="s">
        <v>167</v>
      </c>
      <c r="B53" s="422" t="s">
        <v>77</v>
      </c>
      <c r="C53" s="424" t="s">
        <v>78</v>
      </c>
      <c r="D53" s="411">
        <f>'B1'!D59</f>
        <v>1.41</v>
      </c>
      <c r="E53" s="411">
        <f>'B6'!H57</f>
        <v>14.63</v>
      </c>
      <c r="F53" s="708">
        <f t="shared" si="1"/>
        <v>13.22</v>
      </c>
    </row>
    <row r="54" spans="1:6" s="10" customFormat="1">
      <c r="A54" s="423">
        <v>3</v>
      </c>
      <c r="B54" s="423" t="s">
        <v>79</v>
      </c>
      <c r="C54" s="425" t="s">
        <v>80</v>
      </c>
      <c r="D54" s="410">
        <f>'B1'!D60</f>
        <v>170.91000000000003</v>
      </c>
      <c r="E54" s="410">
        <f>'B6'!H58</f>
        <v>155.36000000000001</v>
      </c>
      <c r="F54" s="708">
        <f t="shared" si="1"/>
        <v>-15.550000000000011</v>
      </c>
    </row>
  </sheetData>
  <mergeCells count="3">
    <mergeCell ref="A1:A2"/>
    <mergeCell ref="B1:B2"/>
    <mergeCell ref="C1:C2"/>
  </mergeCells>
  <pageMargins left="0.7" right="0.3"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topLeftCell="C6" zoomScale="82" zoomScaleNormal="82" workbookViewId="0">
      <pane ySplit="1" topLeftCell="A40" activePane="bottomLeft" state="frozen"/>
      <selection activeCell="A6" sqref="A6"/>
      <selection pane="bottomLeft" activeCell="E53" sqref="E53:O53"/>
    </sheetView>
  </sheetViews>
  <sheetFormatPr defaultColWidth="9.140625" defaultRowHeight="15"/>
  <cols>
    <col min="1" max="1" width="7.42578125" style="466" customWidth="1"/>
    <col min="2" max="2" width="54.7109375" style="454" customWidth="1"/>
    <col min="3" max="3" width="10.5703125" style="454" customWidth="1"/>
    <col min="4" max="4" width="16.7109375" style="454" customWidth="1"/>
    <col min="5" max="6" width="13.5703125" style="454" customWidth="1"/>
    <col min="7" max="7" width="14.42578125" style="454" customWidth="1"/>
    <col min="8" max="9" width="13.85546875" style="454" customWidth="1"/>
    <col min="10" max="10" width="13.5703125" style="454" customWidth="1"/>
    <col min="11" max="11" width="13.140625" style="454" customWidth="1"/>
    <col min="12" max="12" width="12.85546875" style="454" customWidth="1"/>
    <col min="13" max="13" width="13.42578125" style="454" customWidth="1"/>
    <col min="14" max="14" width="14.42578125" style="454" customWidth="1"/>
    <col min="15" max="15" width="15.140625" style="454" customWidth="1"/>
    <col min="16" max="16" width="12.42578125" style="454" bestFit="1" customWidth="1"/>
    <col min="17" max="16384" width="9.140625" style="454"/>
  </cols>
  <sheetData>
    <row r="1" spans="1:18" ht="15.75">
      <c r="A1" s="719" t="s">
        <v>200</v>
      </c>
      <c r="B1" s="719"/>
      <c r="E1" s="455"/>
    </row>
    <row r="2" spans="1:18" ht="24" customHeight="1">
      <c r="A2" s="720" t="s">
        <v>458</v>
      </c>
      <c r="B2" s="720"/>
      <c r="C2" s="720"/>
      <c r="D2" s="720"/>
      <c r="E2" s="720"/>
      <c r="F2" s="720"/>
      <c r="G2" s="720"/>
      <c r="H2" s="720"/>
      <c r="I2" s="720"/>
      <c r="J2" s="720"/>
      <c r="K2" s="720"/>
      <c r="L2" s="720"/>
      <c r="M2" s="720"/>
      <c r="N2" s="720"/>
      <c r="O2" s="720"/>
      <c r="P2" s="456"/>
    </row>
    <row r="3" spans="1:18" ht="15.75">
      <c r="A3" s="721" t="s">
        <v>0</v>
      </c>
      <c r="B3" s="721"/>
      <c r="C3" s="721"/>
      <c r="D3" s="721"/>
      <c r="E3" s="721"/>
      <c r="F3" s="721"/>
      <c r="G3" s="721"/>
      <c r="H3" s="721"/>
      <c r="I3" s="721"/>
      <c r="J3" s="721"/>
      <c r="K3" s="721"/>
      <c r="L3" s="721"/>
      <c r="M3" s="721"/>
      <c r="N3" s="721"/>
      <c r="O3" s="721"/>
      <c r="P3" s="456"/>
    </row>
    <row r="4" spans="1:18" ht="15.75">
      <c r="A4" s="722" t="s">
        <v>1</v>
      </c>
      <c r="B4" s="722" t="s">
        <v>2</v>
      </c>
      <c r="C4" s="722" t="s">
        <v>3</v>
      </c>
      <c r="D4" s="722" t="s">
        <v>4</v>
      </c>
      <c r="E4" s="722" t="s">
        <v>5</v>
      </c>
      <c r="F4" s="722"/>
      <c r="G4" s="722"/>
      <c r="H4" s="722"/>
      <c r="I4" s="722"/>
      <c r="J4" s="722"/>
      <c r="K4" s="722"/>
      <c r="L4" s="722"/>
      <c r="M4" s="722"/>
      <c r="N4" s="722"/>
      <c r="O4" s="722"/>
      <c r="P4" s="456"/>
    </row>
    <row r="5" spans="1:18" ht="15.75">
      <c r="A5" s="723"/>
      <c r="B5" s="723"/>
      <c r="C5" s="723"/>
      <c r="D5" s="723"/>
      <c r="E5" s="724"/>
      <c r="F5" s="724"/>
      <c r="G5" s="724"/>
      <c r="H5" s="724"/>
      <c r="I5" s="724"/>
      <c r="J5" s="724"/>
      <c r="K5" s="724"/>
      <c r="L5" s="724"/>
      <c r="M5" s="724"/>
      <c r="N5" s="724"/>
      <c r="O5" s="724"/>
      <c r="P5" s="456"/>
    </row>
    <row r="6" spans="1:18" ht="31.5">
      <c r="A6" s="723"/>
      <c r="B6" s="723"/>
      <c r="C6" s="723"/>
      <c r="D6" s="723"/>
      <c r="E6" s="457" t="s">
        <v>111</v>
      </c>
      <c r="F6" s="458" t="s">
        <v>121</v>
      </c>
      <c r="G6" s="458" t="s">
        <v>120</v>
      </c>
      <c r="H6" s="458" t="s">
        <v>119</v>
      </c>
      <c r="I6" s="458" t="s">
        <v>114</v>
      </c>
      <c r="J6" s="458" t="s">
        <v>113</v>
      </c>
      <c r="K6" s="458" t="s">
        <v>117</v>
      </c>
      <c r="L6" s="458" t="s">
        <v>112</v>
      </c>
      <c r="M6" s="458" t="s">
        <v>115</v>
      </c>
      <c r="N6" s="458" t="s">
        <v>116</v>
      </c>
      <c r="O6" s="458" t="s">
        <v>118</v>
      </c>
      <c r="P6" s="459"/>
      <c r="Q6" s="460"/>
    </row>
    <row r="7" spans="1:18" s="466" customFormat="1" ht="15.75">
      <c r="A7" s="461">
        <v>-1</v>
      </c>
      <c r="B7" s="461">
        <v>-2</v>
      </c>
      <c r="C7" s="461">
        <v>-3</v>
      </c>
      <c r="D7" s="461" t="s">
        <v>199</v>
      </c>
      <c r="E7" s="461">
        <v>-5</v>
      </c>
      <c r="F7" s="462">
        <v>-8</v>
      </c>
      <c r="G7" s="461">
        <v>-9</v>
      </c>
      <c r="H7" s="461">
        <v>-6</v>
      </c>
      <c r="I7" s="461">
        <v>-12</v>
      </c>
      <c r="J7" s="461">
        <v>-11</v>
      </c>
      <c r="K7" s="463">
        <v>-7</v>
      </c>
      <c r="L7" s="461">
        <v>-10</v>
      </c>
      <c r="M7" s="461">
        <v>-15</v>
      </c>
      <c r="N7" s="461">
        <v>-14</v>
      </c>
      <c r="O7" s="461">
        <v>-13</v>
      </c>
      <c r="P7" s="464"/>
      <c r="Q7" s="465"/>
    </row>
    <row r="8" spans="1:18" s="472" customFormat="1" ht="15.75">
      <c r="A8" s="467"/>
      <c r="B8" s="468"/>
      <c r="C8" s="468"/>
      <c r="D8" s="469">
        <f>SUM(E8:O8)</f>
        <v>143172.85999999999</v>
      </c>
      <c r="E8" s="469">
        <f>E10+E22+E60</f>
        <v>1393.1299999999997</v>
      </c>
      <c r="F8" s="469">
        <f t="shared" ref="F8:O8" si="0">F10+F22+F60</f>
        <v>6258.6</v>
      </c>
      <c r="G8" s="469">
        <f t="shared" si="0"/>
        <v>58391.789999999994</v>
      </c>
      <c r="H8" s="469">
        <f t="shared" si="0"/>
        <v>29828.789999999997</v>
      </c>
      <c r="I8" s="469">
        <f t="shared" si="0"/>
        <v>4035.36</v>
      </c>
      <c r="J8" s="469">
        <f t="shared" si="0"/>
        <v>3737.9900000000002</v>
      </c>
      <c r="K8" s="469">
        <f t="shared" si="0"/>
        <v>5846.21</v>
      </c>
      <c r="L8" s="469">
        <f t="shared" si="0"/>
        <v>6549.5700000000006</v>
      </c>
      <c r="M8" s="469">
        <f t="shared" si="0"/>
        <v>3842.34</v>
      </c>
      <c r="N8" s="469">
        <f t="shared" si="0"/>
        <v>18520.400000000001</v>
      </c>
      <c r="O8" s="469">
        <f t="shared" si="0"/>
        <v>4768.6799999999985</v>
      </c>
      <c r="P8" s="470"/>
      <c r="Q8" s="471"/>
    </row>
    <row r="9" spans="1:18" s="472" customFormat="1" ht="15.75" hidden="1">
      <c r="A9" s="467"/>
      <c r="B9" s="468"/>
      <c r="C9" s="468"/>
      <c r="D9" s="469">
        <f>SUM(E9:O9)</f>
        <v>143172.85999999999</v>
      </c>
      <c r="E9" s="469">
        <f t="shared" ref="E9:O9" si="1">E10+E22+E60</f>
        <v>1393.1299999999997</v>
      </c>
      <c r="F9" s="469">
        <f t="shared" si="1"/>
        <v>6258.6</v>
      </c>
      <c r="G9" s="469">
        <f t="shared" si="1"/>
        <v>58391.789999999994</v>
      </c>
      <c r="H9" s="469">
        <f t="shared" si="1"/>
        <v>29828.789999999997</v>
      </c>
      <c r="I9" s="473">
        <f t="shared" si="1"/>
        <v>4035.36</v>
      </c>
      <c r="J9" s="469">
        <f t="shared" si="1"/>
        <v>3737.9900000000002</v>
      </c>
      <c r="K9" s="469">
        <f t="shared" si="1"/>
        <v>5846.21</v>
      </c>
      <c r="L9" s="469">
        <f t="shared" si="1"/>
        <v>6549.5700000000006</v>
      </c>
      <c r="M9" s="469">
        <f t="shared" si="1"/>
        <v>3842.34</v>
      </c>
      <c r="N9" s="469">
        <f t="shared" si="1"/>
        <v>18520.400000000001</v>
      </c>
      <c r="O9" s="469">
        <f t="shared" si="1"/>
        <v>4768.6799999999985</v>
      </c>
      <c r="P9" s="470"/>
      <c r="Q9" s="471"/>
    </row>
    <row r="10" spans="1:18" ht="15.75">
      <c r="A10" s="452">
        <v>1</v>
      </c>
      <c r="B10" s="70" t="s">
        <v>6</v>
      </c>
      <c r="C10" s="69" t="s">
        <v>7</v>
      </c>
      <c r="D10" s="469">
        <f>SUM(E10:O10)</f>
        <v>134748.66999999998</v>
      </c>
      <c r="E10" s="469">
        <f>E11+SUM(E13:E17)+SUM(E19:E21)</f>
        <v>1067.6999999999998</v>
      </c>
      <c r="F10" s="469">
        <f t="shared" ref="F10:O10" si="2">F11+SUM(F13:F17)+SUM(F19:F21)</f>
        <v>4805.95</v>
      </c>
      <c r="G10" s="469">
        <f t="shared" si="2"/>
        <v>57585.479999999996</v>
      </c>
      <c r="H10" s="469">
        <f t="shared" si="2"/>
        <v>29331.769999999997</v>
      </c>
      <c r="I10" s="469">
        <f t="shared" si="2"/>
        <v>3256.34</v>
      </c>
      <c r="J10" s="469">
        <f t="shared" si="2"/>
        <v>2990.29</v>
      </c>
      <c r="K10" s="469">
        <f t="shared" si="2"/>
        <v>5574.64</v>
      </c>
      <c r="L10" s="469">
        <f t="shared" si="2"/>
        <v>6239.2700000000013</v>
      </c>
      <c r="M10" s="469">
        <f t="shared" si="2"/>
        <v>2522.46</v>
      </c>
      <c r="N10" s="469">
        <f t="shared" si="2"/>
        <v>17143.990000000002</v>
      </c>
      <c r="O10" s="469">
        <f t="shared" si="2"/>
        <v>4230.7799999999988</v>
      </c>
      <c r="P10" s="68"/>
      <c r="Q10" s="460"/>
    </row>
    <row r="11" spans="1:18" ht="15.75">
      <c r="A11" s="474" t="s">
        <v>139</v>
      </c>
      <c r="B11" s="475" t="s">
        <v>8</v>
      </c>
      <c r="C11" s="71" t="s">
        <v>9</v>
      </c>
      <c r="D11" s="476">
        <f t="shared" ref="D11:D60" si="3">SUM(E11:O11)</f>
        <v>1206.1199999999999</v>
      </c>
      <c r="E11" s="476">
        <v>96.75</v>
      </c>
      <c r="F11" s="476">
        <v>89.95</v>
      </c>
      <c r="G11" s="476">
        <v>87.13</v>
      </c>
      <c r="H11" s="476">
        <v>209.85</v>
      </c>
      <c r="I11" s="476">
        <v>59.34</v>
      </c>
      <c r="J11" s="476">
        <v>82.13</v>
      </c>
      <c r="K11" s="476">
        <v>139.66999999999999</v>
      </c>
      <c r="L11" s="476">
        <v>149.88999999999999</v>
      </c>
      <c r="M11" s="476">
        <v>94.44</v>
      </c>
      <c r="N11" s="476">
        <v>47.8</v>
      </c>
      <c r="O11" s="476">
        <v>149.16999999999999</v>
      </c>
      <c r="P11" s="68"/>
      <c r="Q11" s="477"/>
      <c r="R11" s="455"/>
    </row>
    <row r="12" spans="1:18" ht="15.75">
      <c r="A12" s="474"/>
      <c r="B12" s="478" t="s">
        <v>10</v>
      </c>
      <c r="C12" s="74" t="s">
        <v>11</v>
      </c>
      <c r="D12" s="476">
        <f t="shared" si="3"/>
        <v>737.82999999999993</v>
      </c>
      <c r="E12" s="476">
        <v>88.31</v>
      </c>
      <c r="F12" s="476">
        <v>39.06</v>
      </c>
      <c r="G12" s="476">
        <v>37.83</v>
      </c>
      <c r="H12" s="476">
        <v>69.62</v>
      </c>
      <c r="I12" s="476">
        <v>34.01</v>
      </c>
      <c r="J12" s="476">
        <v>45.38</v>
      </c>
      <c r="K12" s="476">
        <v>139.36000000000001</v>
      </c>
      <c r="L12" s="476">
        <v>82.81</v>
      </c>
      <c r="M12" s="476">
        <v>19.97</v>
      </c>
      <c r="N12" s="476">
        <v>37.67</v>
      </c>
      <c r="O12" s="476">
        <v>143.81</v>
      </c>
      <c r="P12" s="68"/>
      <c r="Q12" s="460"/>
    </row>
    <row r="13" spans="1:18" ht="15.75">
      <c r="A13" s="474" t="s">
        <v>140</v>
      </c>
      <c r="B13" s="475" t="s">
        <v>12</v>
      </c>
      <c r="C13" s="71" t="s">
        <v>13</v>
      </c>
      <c r="D13" s="476">
        <f t="shared" si="3"/>
        <v>15442.13</v>
      </c>
      <c r="E13" s="476">
        <v>75.989999999999995</v>
      </c>
      <c r="F13" s="476">
        <v>675</v>
      </c>
      <c r="G13" s="476">
        <v>1539.77</v>
      </c>
      <c r="H13" s="476">
        <v>1494.95</v>
      </c>
      <c r="I13" s="476">
        <v>1780.87</v>
      </c>
      <c r="J13" s="476">
        <v>748.92000000000007</v>
      </c>
      <c r="K13" s="476">
        <f>597.01-0.3</f>
        <v>596.71</v>
      </c>
      <c r="L13" s="476">
        <v>918.83</v>
      </c>
      <c r="M13" s="476">
        <v>1210.96</v>
      </c>
      <c r="N13" s="476">
        <v>4218.55</v>
      </c>
      <c r="O13" s="476">
        <v>2181.58</v>
      </c>
      <c r="P13" s="68"/>
      <c r="Q13" s="460"/>
    </row>
    <row r="14" spans="1:18" ht="15.75">
      <c r="A14" s="474" t="s">
        <v>141</v>
      </c>
      <c r="B14" s="475" t="s">
        <v>14</v>
      </c>
      <c r="C14" s="77" t="s">
        <v>15</v>
      </c>
      <c r="D14" s="476">
        <f t="shared" si="3"/>
        <v>27276.15</v>
      </c>
      <c r="E14" s="476">
        <f>800.49-0.36-7.45</f>
        <v>792.68</v>
      </c>
      <c r="F14" s="476">
        <v>3193.41</v>
      </c>
      <c r="G14" s="476">
        <v>8074.39</v>
      </c>
      <c r="H14" s="476">
        <v>3384.31</v>
      </c>
      <c r="I14" s="476">
        <v>1342.16</v>
      </c>
      <c r="J14" s="476">
        <v>1822.45</v>
      </c>
      <c r="K14" s="476">
        <v>2267.48</v>
      </c>
      <c r="L14" s="476">
        <v>2389.64</v>
      </c>
      <c r="M14" s="476">
        <v>1169.31</v>
      </c>
      <c r="N14" s="476">
        <v>1048.04</v>
      </c>
      <c r="O14" s="476">
        <v>1792.28</v>
      </c>
      <c r="P14" s="68"/>
      <c r="Q14" s="460"/>
    </row>
    <row r="15" spans="1:18" ht="15.75">
      <c r="A15" s="474" t="s">
        <v>142</v>
      </c>
      <c r="B15" s="475" t="s">
        <v>16</v>
      </c>
      <c r="C15" s="71" t="s">
        <v>17</v>
      </c>
      <c r="D15" s="476">
        <f t="shared" si="3"/>
        <v>13322.6</v>
      </c>
      <c r="E15" s="476"/>
      <c r="F15" s="476"/>
      <c r="G15" s="476">
        <v>3830.71</v>
      </c>
      <c r="H15" s="476"/>
      <c r="I15" s="476"/>
      <c r="J15" s="476"/>
      <c r="K15" s="476"/>
      <c r="L15" s="476"/>
      <c r="M15" s="476"/>
      <c r="N15" s="476">
        <v>9417.99</v>
      </c>
      <c r="O15" s="476">
        <v>73.900000000000006</v>
      </c>
      <c r="P15" s="68"/>
      <c r="Q15" s="460"/>
    </row>
    <row r="16" spans="1:18" ht="15.75">
      <c r="A16" s="474" t="s">
        <v>143</v>
      </c>
      <c r="B16" s="475" t="s">
        <v>18</v>
      </c>
      <c r="C16" s="71" t="s">
        <v>19</v>
      </c>
      <c r="D16" s="476">
        <f t="shared" si="3"/>
        <v>43026.239999999998</v>
      </c>
      <c r="E16" s="476">
        <v>73.260000000000005</v>
      </c>
      <c r="F16" s="476"/>
      <c r="G16" s="476">
        <v>17584</v>
      </c>
      <c r="H16" s="476">
        <v>21352.13</v>
      </c>
      <c r="I16" s="476"/>
      <c r="J16" s="476"/>
      <c r="K16" s="476">
        <v>1538.22</v>
      </c>
      <c r="L16" s="476">
        <v>2478.63</v>
      </c>
      <c r="M16" s="476"/>
      <c r="N16" s="476"/>
      <c r="O16" s="476"/>
      <c r="P16" s="68"/>
      <c r="Q16" s="460"/>
    </row>
    <row r="17" spans="1:17" ht="15.75">
      <c r="A17" s="474" t="s">
        <v>144</v>
      </c>
      <c r="B17" s="475" t="s">
        <v>20</v>
      </c>
      <c r="C17" s="71" t="s">
        <v>21</v>
      </c>
      <c r="D17" s="476">
        <f t="shared" si="3"/>
        <v>34255.929999999993</v>
      </c>
      <c r="E17" s="476">
        <v>16.5</v>
      </c>
      <c r="F17" s="476">
        <v>842.72</v>
      </c>
      <c r="G17" s="476">
        <v>26369.21</v>
      </c>
      <c r="H17" s="476">
        <v>2863.6</v>
      </c>
      <c r="I17" s="476">
        <v>69.67</v>
      </c>
      <c r="J17" s="476">
        <v>316.3</v>
      </c>
      <c r="K17" s="476">
        <v>1015.59</v>
      </c>
      <c r="L17" s="476">
        <v>279.31</v>
      </c>
      <c r="M17" s="476">
        <v>41.21</v>
      </c>
      <c r="N17" s="476">
        <v>2410.87</v>
      </c>
      <c r="O17" s="476">
        <v>30.95</v>
      </c>
      <c r="P17" s="68"/>
      <c r="Q17" s="479"/>
    </row>
    <row r="18" spans="1:17" s="482" customFormat="1" ht="15.75">
      <c r="A18" s="246"/>
      <c r="B18" s="478" t="s">
        <v>277</v>
      </c>
      <c r="C18" s="246" t="s">
        <v>281</v>
      </c>
      <c r="D18" s="476">
        <f t="shared" si="3"/>
        <v>29661.95</v>
      </c>
      <c r="E18" s="480">
        <v>9.57</v>
      </c>
      <c r="F18" s="480">
        <v>622.98</v>
      </c>
      <c r="G18" s="480">
        <v>24452.27</v>
      </c>
      <c r="H18" s="480">
        <v>1344.23</v>
      </c>
      <c r="I18" s="480">
        <v>58.8</v>
      </c>
      <c r="J18" s="480">
        <v>314.8</v>
      </c>
      <c r="K18" s="480">
        <v>740.52</v>
      </c>
      <c r="L18" s="480">
        <v>279.31</v>
      </c>
      <c r="M18" s="480">
        <v>41.21</v>
      </c>
      <c r="N18" s="480">
        <v>1790.9</v>
      </c>
      <c r="O18" s="480">
        <v>7.36</v>
      </c>
      <c r="P18" s="109"/>
      <c r="Q18" s="481"/>
    </row>
    <row r="19" spans="1:17" ht="15.75">
      <c r="A19" s="474" t="s">
        <v>145</v>
      </c>
      <c r="B19" s="475" t="s">
        <v>22</v>
      </c>
      <c r="C19" s="71" t="s">
        <v>23</v>
      </c>
      <c r="D19" s="476">
        <f t="shared" si="3"/>
        <v>122.69</v>
      </c>
      <c r="E19" s="476">
        <v>8.7100000000000009</v>
      </c>
      <c r="F19" s="476">
        <v>3.67</v>
      </c>
      <c r="G19" s="476">
        <v>13.47</v>
      </c>
      <c r="H19" s="476">
        <v>25.23</v>
      </c>
      <c r="I19" s="476">
        <v>4.3</v>
      </c>
      <c r="J19" s="476">
        <v>17.190000000000001</v>
      </c>
      <c r="K19" s="476">
        <v>16.97</v>
      </c>
      <c r="L19" s="476">
        <v>22.97</v>
      </c>
      <c r="M19" s="476">
        <v>6.54</v>
      </c>
      <c r="N19" s="476">
        <v>0.74</v>
      </c>
      <c r="O19" s="476">
        <v>2.9</v>
      </c>
      <c r="P19" s="68"/>
      <c r="Q19" s="460"/>
    </row>
    <row r="20" spans="1:17" ht="15.75">
      <c r="A20" s="474" t="s">
        <v>146</v>
      </c>
      <c r="B20" s="475" t="s">
        <v>24</v>
      </c>
      <c r="C20" s="71" t="s">
        <v>25</v>
      </c>
      <c r="D20" s="476">
        <f t="shared" si="3"/>
        <v>0</v>
      </c>
      <c r="E20" s="476"/>
      <c r="F20" s="476"/>
      <c r="G20" s="476"/>
      <c r="H20" s="476"/>
      <c r="I20" s="476"/>
      <c r="J20" s="476"/>
      <c r="K20" s="476"/>
      <c r="L20" s="476"/>
      <c r="M20" s="476"/>
      <c r="N20" s="476"/>
      <c r="O20" s="476"/>
      <c r="P20" s="68"/>
      <c r="Q20" s="460"/>
    </row>
    <row r="21" spans="1:17" ht="15.75">
      <c r="A21" s="474" t="s">
        <v>147</v>
      </c>
      <c r="B21" s="475" t="s">
        <v>26</v>
      </c>
      <c r="C21" s="71" t="s">
        <v>27</v>
      </c>
      <c r="D21" s="476">
        <f t="shared" si="3"/>
        <v>96.81</v>
      </c>
      <c r="E21" s="476">
        <v>3.81</v>
      </c>
      <c r="F21" s="476">
        <v>1.2</v>
      </c>
      <c r="G21" s="476">
        <v>86.8</v>
      </c>
      <c r="H21" s="476">
        <v>1.7</v>
      </c>
      <c r="I21" s="476"/>
      <c r="J21" s="476">
        <v>3.3</v>
      </c>
      <c r="K21" s="476"/>
      <c r="L21" s="476"/>
      <c r="M21" s="476"/>
      <c r="N21" s="476"/>
      <c r="O21" s="476"/>
      <c r="P21" s="68"/>
      <c r="Q21" s="460"/>
    </row>
    <row r="22" spans="1:17" ht="15.75">
      <c r="A22" s="452">
        <v>2</v>
      </c>
      <c r="B22" s="70" t="s">
        <v>28</v>
      </c>
      <c r="C22" s="69" t="s">
        <v>29</v>
      </c>
      <c r="D22" s="469">
        <f t="shared" si="3"/>
        <v>8253.2800000000007</v>
      </c>
      <c r="E22" s="469">
        <f>SUM(E23:E31)+SUM(E48:E59)</f>
        <v>325.42999999999995</v>
      </c>
      <c r="F22" s="469">
        <f t="shared" ref="F22:O22" si="4">SUM(F23:F31)+SUM(F48:F59)</f>
        <v>1452.65</v>
      </c>
      <c r="G22" s="469">
        <f t="shared" si="4"/>
        <v>794.97</v>
      </c>
      <c r="H22" s="469">
        <f t="shared" si="4"/>
        <v>459.54999999999995</v>
      </c>
      <c r="I22" s="469">
        <f t="shared" si="4"/>
        <v>770.88000000000011</v>
      </c>
      <c r="J22" s="469">
        <f t="shared" si="4"/>
        <v>738.05000000000007</v>
      </c>
      <c r="K22" s="469">
        <f t="shared" si="4"/>
        <v>259.77</v>
      </c>
      <c r="L22" s="469">
        <f t="shared" si="4"/>
        <v>288.02</v>
      </c>
      <c r="M22" s="469">
        <f t="shared" si="4"/>
        <v>1319.8799999999999</v>
      </c>
      <c r="N22" s="469">
        <f t="shared" si="4"/>
        <v>1376.4099999999999</v>
      </c>
      <c r="O22" s="469">
        <f t="shared" si="4"/>
        <v>467.67</v>
      </c>
      <c r="P22" s="68"/>
      <c r="Q22" s="460"/>
    </row>
    <row r="23" spans="1:17" ht="15.75">
      <c r="A23" s="474" t="s">
        <v>148</v>
      </c>
      <c r="B23" s="475" t="s">
        <v>30</v>
      </c>
      <c r="C23" s="71" t="s">
        <v>31</v>
      </c>
      <c r="D23" s="476">
        <f t="shared" si="3"/>
        <v>117.53</v>
      </c>
      <c r="E23" s="476">
        <v>24.38</v>
      </c>
      <c r="F23" s="476">
        <v>51.01</v>
      </c>
      <c r="G23" s="476">
        <v>24.44</v>
      </c>
      <c r="H23" s="476">
        <v>17.7</v>
      </c>
      <c r="I23" s="476"/>
      <c r="J23" s="476"/>
      <c r="K23" s="476"/>
      <c r="L23" s="476"/>
      <c r="M23" s="476"/>
      <c r="N23" s="476"/>
      <c r="O23" s="476"/>
      <c r="P23" s="68"/>
      <c r="Q23" s="460"/>
    </row>
    <row r="24" spans="1:17" ht="15.75">
      <c r="A24" s="474" t="s">
        <v>138</v>
      </c>
      <c r="B24" s="475" t="s">
        <v>32</v>
      </c>
      <c r="C24" s="71" t="s">
        <v>33</v>
      </c>
      <c r="D24" s="476">
        <f t="shared" si="3"/>
        <v>0.97</v>
      </c>
      <c r="E24" s="476">
        <v>0.97</v>
      </c>
      <c r="F24" s="476"/>
      <c r="G24" s="476"/>
      <c r="H24" s="476"/>
      <c r="I24" s="476"/>
      <c r="J24" s="476"/>
      <c r="K24" s="476"/>
      <c r="L24" s="476"/>
      <c r="M24" s="476"/>
      <c r="N24" s="476"/>
      <c r="O24" s="476"/>
      <c r="P24" s="68"/>
      <c r="Q24" s="460"/>
    </row>
    <row r="25" spans="1:17" ht="15.75">
      <c r="A25" s="474" t="s">
        <v>149</v>
      </c>
      <c r="B25" s="475" t="s">
        <v>34</v>
      </c>
      <c r="C25" s="71" t="s">
        <v>35</v>
      </c>
      <c r="D25" s="476">
        <f t="shared" si="3"/>
        <v>0</v>
      </c>
      <c r="E25" s="476"/>
      <c r="F25" s="476"/>
      <c r="G25" s="476"/>
      <c r="H25" s="476"/>
      <c r="I25" s="476"/>
      <c r="J25" s="476"/>
      <c r="K25" s="476"/>
      <c r="L25" s="476"/>
      <c r="M25" s="476"/>
      <c r="N25" s="476"/>
      <c r="O25" s="476"/>
      <c r="P25" s="68"/>
      <c r="Q25" s="460"/>
    </row>
    <row r="26" spans="1:17" ht="15.75">
      <c r="A26" s="474" t="s">
        <v>150</v>
      </c>
      <c r="B26" s="475" t="s">
        <v>36</v>
      </c>
      <c r="C26" s="71" t="s">
        <v>37</v>
      </c>
      <c r="D26" s="476">
        <f t="shared" si="3"/>
        <v>0</v>
      </c>
      <c r="E26" s="476"/>
      <c r="F26" s="476"/>
      <c r="G26" s="476"/>
      <c r="H26" s="476"/>
      <c r="I26" s="476"/>
      <c r="J26" s="476"/>
      <c r="K26" s="476"/>
      <c r="L26" s="476"/>
      <c r="M26" s="476"/>
      <c r="N26" s="476"/>
      <c r="O26" s="476"/>
      <c r="P26" s="68"/>
      <c r="Q26" s="460"/>
    </row>
    <row r="27" spans="1:17" ht="15.75">
      <c r="A27" s="474" t="s">
        <v>151</v>
      </c>
      <c r="B27" s="475" t="s">
        <v>38</v>
      </c>
      <c r="C27" s="71" t="s">
        <v>39</v>
      </c>
      <c r="D27" s="476">
        <f t="shared" si="3"/>
        <v>5.169999999999999</v>
      </c>
      <c r="E27" s="476">
        <v>2.0499999999999998</v>
      </c>
      <c r="F27" s="476"/>
      <c r="G27" s="476">
        <v>0.39</v>
      </c>
      <c r="H27" s="476">
        <v>0.32</v>
      </c>
      <c r="I27" s="476">
        <v>0.31</v>
      </c>
      <c r="J27" s="476"/>
      <c r="K27" s="476">
        <f>0.36+0.3</f>
        <v>0.65999999999999992</v>
      </c>
      <c r="L27" s="476">
        <v>1.34</v>
      </c>
      <c r="M27" s="476"/>
      <c r="N27" s="476"/>
      <c r="O27" s="476">
        <v>0.1</v>
      </c>
      <c r="P27" s="68"/>
      <c r="Q27" s="460"/>
    </row>
    <row r="28" spans="1:17" s="485" customFormat="1" ht="15.75">
      <c r="A28" s="474" t="s">
        <v>152</v>
      </c>
      <c r="B28" s="483" t="s">
        <v>40</v>
      </c>
      <c r="C28" s="73" t="s">
        <v>41</v>
      </c>
      <c r="D28" s="476">
        <f t="shared" si="3"/>
        <v>55.789999999999992</v>
      </c>
      <c r="E28" s="476"/>
      <c r="F28" s="476">
        <v>2.99</v>
      </c>
      <c r="G28" s="476">
        <v>4.7699999999999996</v>
      </c>
      <c r="H28" s="476">
        <v>1.31</v>
      </c>
      <c r="I28" s="476">
        <v>27.2</v>
      </c>
      <c r="J28" s="476">
        <v>0.41</v>
      </c>
      <c r="K28" s="476">
        <v>18.79</v>
      </c>
      <c r="L28" s="476">
        <v>0.32</v>
      </c>
      <c r="M28" s="476"/>
      <c r="N28" s="476"/>
      <c r="O28" s="476"/>
      <c r="P28" s="68"/>
      <c r="Q28" s="484"/>
    </row>
    <row r="29" spans="1:17" ht="15.75">
      <c r="A29" s="474" t="s">
        <v>153</v>
      </c>
      <c r="B29" s="475" t="s">
        <v>42</v>
      </c>
      <c r="C29" s="71" t="s">
        <v>43</v>
      </c>
      <c r="D29" s="476">
        <f t="shared" si="3"/>
        <v>4.66</v>
      </c>
      <c r="E29" s="476"/>
      <c r="F29" s="476"/>
      <c r="G29" s="476"/>
      <c r="H29" s="476"/>
      <c r="I29" s="476"/>
      <c r="J29" s="476"/>
      <c r="K29" s="476">
        <v>4.66</v>
      </c>
      <c r="L29" s="476"/>
      <c r="M29" s="476"/>
      <c r="N29" s="476"/>
      <c r="O29" s="476"/>
      <c r="P29" s="68"/>
      <c r="Q29" s="460"/>
    </row>
    <row r="30" spans="1:17" ht="15.75">
      <c r="A30" s="474" t="s">
        <v>154</v>
      </c>
      <c r="B30" s="475" t="s">
        <v>179</v>
      </c>
      <c r="C30" s="71" t="s">
        <v>66</v>
      </c>
      <c r="D30" s="476">
        <f>SUM(E30:O30)</f>
        <v>22.740000000000002</v>
      </c>
      <c r="E30" s="476"/>
      <c r="F30" s="476"/>
      <c r="G30" s="476">
        <v>5.08</v>
      </c>
      <c r="H30" s="476"/>
      <c r="I30" s="476">
        <v>11.09</v>
      </c>
      <c r="J30" s="476">
        <v>5.04</v>
      </c>
      <c r="K30" s="476"/>
      <c r="L30" s="476"/>
      <c r="M30" s="476">
        <v>0.1</v>
      </c>
      <c r="N30" s="476"/>
      <c r="O30" s="476">
        <v>1.43</v>
      </c>
      <c r="P30" s="68"/>
      <c r="Q30" s="460"/>
    </row>
    <row r="31" spans="1:17" s="488" customFormat="1" ht="15.75">
      <c r="A31" s="474" t="s">
        <v>155</v>
      </c>
      <c r="B31" s="486" t="s">
        <v>180</v>
      </c>
      <c r="C31" s="77" t="s">
        <v>45</v>
      </c>
      <c r="D31" s="476">
        <f t="shared" si="3"/>
        <v>6091.9400000000005</v>
      </c>
      <c r="E31" s="476">
        <f>SUM(E32:E47)</f>
        <v>125.7</v>
      </c>
      <c r="F31" s="476">
        <f t="shared" ref="F31:O31" si="5">SUM(F32:F47)</f>
        <v>1196.2700000000002</v>
      </c>
      <c r="G31" s="476">
        <f t="shared" si="5"/>
        <v>395.47</v>
      </c>
      <c r="H31" s="476">
        <f t="shared" si="5"/>
        <v>233.88</v>
      </c>
      <c r="I31" s="476">
        <f t="shared" si="5"/>
        <v>634.93000000000006</v>
      </c>
      <c r="J31" s="476">
        <f t="shared" si="5"/>
        <v>622.84</v>
      </c>
      <c r="K31" s="476">
        <f t="shared" si="5"/>
        <v>98.4</v>
      </c>
      <c r="L31" s="476">
        <f t="shared" si="5"/>
        <v>110.52000000000001</v>
      </c>
      <c r="M31" s="476">
        <f t="shared" si="5"/>
        <v>1219.99</v>
      </c>
      <c r="N31" s="476">
        <f t="shared" si="5"/>
        <v>1248.3799999999999</v>
      </c>
      <c r="O31" s="476">
        <f t="shared" si="5"/>
        <v>205.56000000000003</v>
      </c>
      <c r="P31" s="78"/>
      <c r="Q31" s="487"/>
    </row>
    <row r="32" spans="1:17" s="482" customFormat="1" ht="16.5" customHeight="1">
      <c r="A32" s="489"/>
      <c r="B32" s="478" t="s">
        <v>228</v>
      </c>
      <c r="C32" s="74" t="s">
        <v>196</v>
      </c>
      <c r="D32" s="480">
        <f>SUM(E32:O32)</f>
        <v>1160.3399999999999</v>
      </c>
      <c r="E32" s="480">
        <f>72.27+0.4+1.8</f>
        <v>74.47</v>
      </c>
      <c r="F32" s="480">
        <v>112.54</v>
      </c>
      <c r="G32" s="480">
        <v>374.69</v>
      </c>
      <c r="H32" s="480">
        <v>164.38</v>
      </c>
      <c r="I32" s="480">
        <v>62.36</v>
      </c>
      <c r="J32" s="480">
        <v>53.3</v>
      </c>
      <c r="K32" s="480">
        <v>41.83</v>
      </c>
      <c r="L32" s="480">
        <v>75.069999999999993</v>
      </c>
      <c r="M32" s="480">
        <v>37.880000000000003</v>
      </c>
      <c r="N32" s="480">
        <v>93.46</v>
      </c>
      <c r="O32" s="480">
        <v>70.36</v>
      </c>
      <c r="P32" s="109"/>
      <c r="Q32" s="490"/>
    </row>
    <row r="33" spans="1:17" s="482" customFormat="1" ht="15.75">
      <c r="A33" s="489"/>
      <c r="B33" s="478" t="s">
        <v>229</v>
      </c>
      <c r="C33" s="74" t="s">
        <v>194</v>
      </c>
      <c r="D33" s="480">
        <f>SUM(E33:O33)</f>
        <v>92.570000000000007</v>
      </c>
      <c r="E33" s="480">
        <f>3.57+2.5</f>
        <v>6.07</v>
      </c>
      <c r="F33" s="480">
        <v>1.68</v>
      </c>
      <c r="G33" s="480">
        <v>0.05</v>
      </c>
      <c r="H33" s="480">
        <v>3.41</v>
      </c>
      <c r="I33" s="480">
        <v>36.11</v>
      </c>
      <c r="J33" s="480">
        <v>14.1</v>
      </c>
      <c r="K33" s="480">
        <v>2.54</v>
      </c>
      <c r="L33" s="480">
        <v>3.51</v>
      </c>
      <c r="M33" s="480">
        <v>14.7</v>
      </c>
      <c r="N33" s="480">
        <v>2.4</v>
      </c>
      <c r="O33" s="480">
        <v>8</v>
      </c>
      <c r="P33" s="109"/>
      <c r="Q33" s="490"/>
    </row>
    <row r="34" spans="1:17" s="482" customFormat="1" ht="15.75">
      <c r="A34" s="489"/>
      <c r="B34" s="478" t="s">
        <v>222</v>
      </c>
      <c r="C34" s="74" t="s">
        <v>232</v>
      </c>
      <c r="D34" s="480">
        <f t="shared" si="3"/>
        <v>6.18</v>
      </c>
      <c r="E34" s="480">
        <v>5.85</v>
      </c>
      <c r="F34" s="480"/>
      <c r="G34" s="480"/>
      <c r="H34" s="480"/>
      <c r="I34" s="480"/>
      <c r="J34" s="480"/>
      <c r="K34" s="480">
        <v>0.12</v>
      </c>
      <c r="L34" s="480"/>
      <c r="M34" s="480"/>
      <c r="N34" s="480"/>
      <c r="O34" s="480">
        <v>0.21</v>
      </c>
      <c r="P34" s="109"/>
      <c r="Q34" s="490"/>
    </row>
    <row r="35" spans="1:17" s="482" customFormat="1" ht="15.75">
      <c r="A35" s="489"/>
      <c r="B35" s="478" t="s">
        <v>223</v>
      </c>
      <c r="C35" s="111" t="s">
        <v>233</v>
      </c>
      <c r="D35" s="480">
        <f t="shared" si="3"/>
        <v>4.96</v>
      </c>
      <c r="E35" s="480">
        <v>1.93</v>
      </c>
      <c r="F35" s="480">
        <v>0.21</v>
      </c>
      <c r="G35" s="480">
        <v>1</v>
      </c>
      <c r="H35" s="480">
        <v>0.22</v>
      </c>
      <c r="I35" s="480">
        <v>0.17</v>
      </c>
      <c r="J35" s="480">
        <v>0.15</v>
      </c>
      <c r="K35" s="480">
        <v>0.16</v>
      </c>
      <c r="L35" s="480">
        <v>0.15</v>
      </c>
      <c r="M35" s="480">
        <v>0.18</v>
      </c>
      <c r="N35" s="480">
        <v>0.45</v>
      </c>
      <c r="O35" s="480">
        <v>0.34</v>
      </c>
      <c r="P35" s="109"/>
      <c r="Q35" s="490"/>
    </row>
    <row r="36" spans="1:17" s="482" customFormat="1" ht="15.75">
      <c r="A36" s="489"/>
      <c r="B36" s="478" t="s">
        <v>224</v>
      </c>
      <c r="C36" s="74" t="s">
        <v>192</v>
      </c>
      <c r="D36" s="480">
        <f t="shared" si="3"/>
        <v>61.53</v>
      </c>
      <c r="E36" s="480">
        <v>18.170000000000002</v>
      </c>
      <c r="F36" s="480">
        <v>5.13</v>
      </c>
      <c r="G36" s="480">
        <v>5.96</v>
      </c>
      <c r="H36" s="480">
        <v>3.23</v>
      </c>
      <c r="I36" s="480">
        <v>5.6</v>
      </c>
      <c r="J36" s="480">
        <v>2.46</v>
      </c>
      <c r="K36" s="480">
        <v>4.8499999999999996</v>
      </c>
      <c r="L36" s="480">
        <v>4.26</v>
      </c>
      <c r="M36" s="480">
        <v>2.89</v>
      </c>
      <c r="N36" s="480">
        <v>4.05</v>
      </c>
      <c r="O36" s="480">
        <v>4.93</v>
      </c>
      <c r="P36" s="109"/>
      <c r="Q36" s="490"/>
    </row>
    <row r="37" spans="1:17" s="482" customFormat="1" ht="15.75">
      <c r="A37" s="489"/>
      <c r="B37" s="478" t="s">
        <v>225</v>
      </c>
      <c r="C37" s="74" t="s">
        <v>195</v>
      </c>
      <c r="D37" s="480">
        <f t="shared" si="3"/>
        <v>16.670000000000002</v>
      </c>
      <c r="E37" s="480">
        <v>4.08</v>
      </c>
      <c r="F37" s="480">
        <v>2.41</v>
      </c>
      <c r="G37" s="480">
        <v>1.63</v>
      </c>
      <c r="H37" s="480">
        <v>0.28000000000000003</v>
      </c>
      <c r="I37" s="480">
        <v>1.23</v>
      </c>
      <c r="J37" s="480">
        <v>2.91</v>
      </c>
      <c r="K37" s="480">
        <v>1.32</v>
      </c>
      <c r="L37" s="480">
        <v>0.68</v>
      </c>
      <c r="M37" s="480"/>
      <c r="N37" s="480"/>
      <c r="O37" s="480">
        <v>2.13</v>
      </c>
      <c r="P37" s="109"/>
      <c r="Q37" s="490"/>
    </row>
    <row r="38" spans="1:17" s="482" customFormat="1" ht="15.75">
      <c r="A38" s="489"/>
      <c r="B38" s="478" t="s">
        <v>282</v>
      </c>
      <c r="C38" s="74" t="s">
        <v>193</v>
      </c>
      <c r="D38" s="480">
        <f>SUM(E38:O38)</f>
        <v>4617.17</v>
      </c>
      <c r="E38" s="480">
        <f>0.29+2.3</f>
        <v>2.59</v>
      </c>
      <c r="F38" s="480">
        <v>1064.98</v>
      </c>
      <c r="G38" s="480">
        <v>1.31</v>
      </c>
      <c r="H38" s="480">
        <v>51.5</v>
      </c>
      <c r="I38" s="480">
        <v>501.75</v>
      </c>
      <c r="J38" s="480">
        <v>544.51</v>
      </c>
      <c r="K38" s="480">
        <v>35.36</v>
      </c>
      <c r="L38" s="480"/>
      <c r="M38" s="480">
        <v>1161.31</v>
      </c>
      <c r="N38" s="480">
        <v>1144.77</v>
      </c>
      <c r="O38" s="480">
        <v>109.09</v>
      </c>
      <c r="P38" s="109"/>
      <c r="Q38" s="490"/>
    </row>
    <row r="39" spans="1:17" s="482" customFormat="1" ht="15.75">
      <c r="A39" s="489"/>
      <c r="B39" s="478" t="s">
        <v>230</v>
      </c>
      <c r="C39" s="74" t="s">
        <v>236</v>
      </c>
      <c r="D39" s="480">
        <f>SUM(E39:O39)</f>
        <v>1.02</v>
      </c>
      <c r="E39" s="480">
        <v>0.3</v>
      </c>
      <c r="F39" s="480">
        <v>0.3</v>
      </c>
      <c r="G39" s="480">
        <v>0.04</v>
      </c>
      <c r="H39" s="480"/>
      <c r="I39" s="480">
        <v>0.02</v>
      </c>
      <c r="J39" s="480">
        <v>0.22</v>
      </c>
      <c r="K39" s="480">
        <v>0.04</v>
      </c>
      <c r="L39" s="480">
        <v>0.05</v>
      </c>
      <c r="M39" s="480"/>
      <c r="N39" s="480">
        <v>0.03</v>
      </c>
      <c r="O39" s="480">
        <v>0.02</v>
      </c>
      <c r="P39" s="109"/>
      <c r="Q39" s="490"/>
    </row>
    <row r="40" spans="1:17" s="482" customFormat="1" ht="15.75">
      <c r="A40" s="489"/>
      <c r="B40" s="478" t="s">
        <v>278</v>
      </c>
      <c r="C40" s="74" t="s">
        <v>279</v>
      </c>
      <c r="D40" s="480"/>
      <c r="E40" s="480"/>
      <c r="F40" s="480"/>
      <c r="G40" s="480"/>
      <c r="H40" s="480"/>
      <c r="I40" s="480"/>
      <c r="J40" s="480"/>
      <c r="K40" s="480"/>
      <c r="L40" s="480"/>
      <c r="M40" s="480"/>
      <c r="N40" s="480"/>
      <c r="O40" s="480"/>
      <c r="P40" s="109"/>
      <c r="Q40" s="490"/>
    </row>
    <row r="41" spans="1:17" s="482" customFormat="1" ht="15.75">
      <c r="A41" s="246"/>
      <c r="B41" s="478" t="s">
        <v>46</v>
      </c>
      <c r="C41" s="74" t="s">
        <v>47</v>
      </c>
      <c r="D41" s="480">
        <f>SUM(E41:O41)</f>
        <v>3.86</v>
      </c>
      <c r="E41" s="480"/>
      <c r="F41" s="480">
        <v>0.01</v>
      </c>
      <c r="G41" s="480">
        <v>0.22</v>
      </c>
      <c r="H41" s="480">
        <v>0.28999999999999998</v>
      </c>
      <c r="I41" s="480"/>
      <c r="J41" s="480"/>
      <c r="K41" s="480"/>
      <c r="L41" s="480"/>
      <c r="M41" s="480"/>
      <c r="N41" s="480"/>
      <c r="O41" s="480">
        <v>3.34</v>
      </c>
      <c r="P41" s="109"/>
      <c r="Q41" s="490"/>
    </row>
    <row r="42" spans="1:17" s="482" customFormat="1" ht="15.75">
      <c r="A42" s="246"/>
      <c r="B42" s="478" t="s">
        <v>50</v>
      </c>
      <c r="C42" s="74" t="s">
        <v>51</v>
      </c>
      <c r="D42" s="480">
        <f>SUM(E42:O42)</f>
        <v>2.65</v>
      </c>
      <c r="E42" s="480">
        <v>0.93</v>
      </c>
      <c r="F42" s="480"/>
      <c r="G42" s="480"/>
      <c r="H42" s="480"/>
      <c r="I42" s="480">
        <v>1.72</v>
      </c>
      <c r="J42" s="480"/>
      <c r="K42" s="480"/>
      <c r="L42" s="480"/>
      <c r="M42" s="480"/>
      <c r="N42" s="480"/>
      <c r="O42" s="480"/>
      <c r="P42" s="109"/>
      <c r="Q42" s="490"/>
    </row>
    <row r="43" spans="1:17" s="482" customFormat="1" ht="15.75">
      <c r="A43" s="246"/>
      <c r="B43" s="478" t="s">
        <v>62</v>
      </c>
      <c r="C43" s="74" t="s">
        <v>63</v>
      </c>
      <c r="D43" s="480">
        <f>SUM(E43:O43)</f>
        <v>5.8500000000000005</v>
      </c>
      <c r="E43" s="480">
        <v>1.99</v>
      </c>
      <c r="F43" s="480">
        <v>2.42</v>
      </c>
      <c r="G43" s="480"/>
      <c r="H43" s="480">
        <v>0.96</v>
      </c>
      <c r="I43" s="480">
        <v>0.23</v>
      </c>
      <c r="J43" s="480">
        <v>0.25</v>
      </c>
      <c r="K43" s="480"/>
      <c r="L43" s="480"/>
      <c r="M43" s="480"/>
      <c r="N43" s="480"/>
      <c r="O43" s="480"/>
      <c r="P43" s="109"/>
      <c r="Q43" s="490"/>
    </row>
    <row r="44" spans="1:17" s="482" customFormat="1" ht="15.75">
      <c r="A44" s="246"/>
      <c r="B44" s="478" t="s">
        <v>280</v>
      </c>
      <c r="C44" s="74" t="s">
        <v>64</v>
      </c>
      <c r="D44" s="480">
        <f>SUM(E44:O44)</f>
        <v>116.25</v>
      </c>
      <c r="E44" s="480">
        <v>7.18</v>
      </c>
      <c r="F44" s="480">
        <v>6.41</v>
      </c>
      <c r="G44" s="480">
        <v>10.57</v>
      </c>
      <c r="H44" s="480">
        <v>9.31</v>
      </c>
      <c r="I44" s="480">
        <v>25.65</v>
      </c>
      <c r="J44" s="480">
        <v>4.9400000000000004</v>
      </c>
      <c r="K44" s="480">
        <v>12.18</v>
      </c>
      <c r="L44" s="480">
        <v>26.8</v>
      </c>
      <c r="M44" s="480">
        <v>3.03</v>
      </c>
      <c r="N44" s="480">
        <v>3.22</v>
      </c>
      <c r="O44" s="480">
        <v>6.96</v>
      </c>
      <c r="P44" s="109"/>
      <c r="Q44" s="490"/>
    </row>
    <row r="45" spans="1:17" s="482" customFormat="1" ht="15.75">
      <c r="A45" s="489"/>
      <c r="B45" s="478" t="s">
        <v>226</v>
      </c>
      <c r="C45" s="74" t="s">
        <v>234</v>
      </c>
      <c r="D45" s="480">
        <f t="shared" si="3"/>
        <v>0</v>
      </c>
      <c r="E45" s="480"/>
      <c r="F45" s="480"/>
      <c r="G45" s="480"/>
      <c r="H45" s="480"/>
      <c r="I45" s="480"/>
      <c r="J45" s="480"/>
      <c r="K45" s="480"/>
      <c r="L45" s="480"/>
      <c r="M45" s="480"/>
      <c r="N45" s="480"/>
      <c r="O45" s="480"/>
      <c r="P45" s="109"/>
      <c r="Q45" s="490"/>
    </row>
    <row r="46" spans="1:17" s="482" customFormat="1" ht="15.75">
      <c r="A46" s="489"/>
      <c r="B46" s="478" t="s">
        <v>227</v>
      </c>
      <c r="C46" s="74" t="s">
        <v>235</v>
      </c>
      <c r="D46" s="480">
        <f t="shared" si="3"/>
        <v>0.66</v>
      </c>
      <c r="E46" s="480">
        <v>0.66</v>
      </c>
      <c r="F46" s="480"/>
      <c r="G46" s="480"/>
      <c r="H46" s="480"/>
      <c r="I46" s="480"/>
      <c r="J46" s="480"/>
      <c r="K46" s="480"/>
      <c r="L46" s="480"/>
      <c r="M46" s="480"/>
      <c r="N46" s="480"/>
      <c r="O46" s="480"/>
      <c r="P46" s="109"/>
      <c r="Q46" s="490"/>
    </row>
    <row r="47" spans="1:17" s="482" customFormat="1" ht="15.75">
      <c r="A47" s="489"/>
      <c r="B47" s="478" t="s">
        <v>231</v>
      </c>
      <c r="C47" s="74" t="s">
        <v>206</v>
      </c>
      <c r="D47" s="480">
        <f t="shared" si="3"/>
        <v>2.23</v>
      </c>
      <c r="E47" s="480">
        <v>1.48</v>
      </c>
      <c r="F47" s="480">
        <v>0.18</v>
      </c>
      <c r="G47" s="480"/>
      <c r="H47" s="480">
        <v>0.3</v>
      </c>
      <c r="I47" s="480">
        <v>0.09</v>
      </c>
      <c r="J47" s="480"/>
      <c r="K47" s="480"/>
      <c r="L47" s="480"/>
      <c r="M47" s="480"/>
      <c r="N47" s="480"/>
      <c r="O47" s="480">
        <v>0.18</v>
      </c>
      <c r="P47" s="109"/>
      <c r="Q47" s="490"/>
    </row>
    <row r="48" spans="1:17" ht="15.75">
      <c r="A48" s="474" t="s">
        <v>156</v>
      </c>
      <c r="B48" s="475" t="s">
        <v>48</v>
      </c>
      <c r="C48" s="73" t="s">
        <v>49</v>
      </c>
      <c r="D48" s="476"/>
      <c r="E48" s="476"/>
      <c r="F48" s="476"/>
      <c r="G48" s="476"/>
      <c r="H48" s="476"/>
      <c r="I48" s="476"/>
      <c r="J48" s="476"/>
      <c r="K48" s="476"/>
      <c r="L48" s="476"/>
      <c r="M48" s="476"/>
      <c r="N48" s="476"/>
      <c r="O48" s="476"/>
      <c r="P48" s="68"/>
      <c r="Q48" s="460"/>
    </row>
    <row r="49" spans="1:17" ht="15.75">
      <c r="A49" s="474" t="s">
        <v>157</v>
      </c>
      <c r="B49" s="475" t="s">
        <v>67</v>
      </c>
      <c r="C49" s="71" t="s">
        <v>68</v>
      </c>
      <c r="D49" s="476">
        <f>SUM(E49:O49)</f>
        <v>13.120000000000001</v>
      </c>
      <c r="E49" s="476">
        <v>1.26</v>
      </c>
      <c r="F49" s="476">
        <v>2.95</v>
      </c>
      <c r="G49" s="476">
        <v>1.69</v>
      </c>
      <c r="H49" s="476">
        <v>0.49</v>
      </c>
      <c r="I49" s="476">
        <v>1.1200000000000001</v>
      </c>
      <c r="J49" s="476">
        <v>1.64</v>
      </c>
      <c r="K49" s="476">
        <v>0.26</v>
      </c>
      <c r="L49" s="476">
        <v>0.28999999999999998</v>
      </c>
      <c r="M49" s="476">
        <v>0.49</v>
      </c>
      <c r="N49" s="476">
        <v>1.38</v>
      </c>
      <c r="O49" s="476">
        <v>1.55</v>
      </c>
      <c r="P49" s="68"/>
      <c r="Q49" s="460"/>
    </row>
    <row r="50" spans="1:17" ht="15.75">
      <c r="A50" s="474" t="s">
        <v>158</v>
      </c>
      <c r="B50" s="475" t="s">
        <v>69</v>
      </c>
      <c r="C50" s="71" t="s">
        <v>70</v>
      </c>
      <c r="D50" s="476">
        <f>SUM(E50:O50)</f>
        <v>3.08</v>
      </c>
      <c r="E50" s="476">
        <v>2.4</v>
      </c>
      <c r="F50" s="476"/>
      <c r="G50" s="476"/>
      <c r="H50" s="476"/>
      <c r="I50" s="476">
        <v>0.68</v>
      </c>
      <c r="J50" s="476"/>
      <c r="K50" s="476"/>
      <c r="L50" s="476"/>
      <c r="M50" s="476"/>
      <c r="N50" s="476"/>
      <c r="O50" s="476"/>
      <c r="P50" s="68"/>
      <c r="Q50" s="460"/>
    </row>
    <row r="51" spans="1:17" ht="15.75">
      <c r="A51" s="474" t="s">
        <v>159</v>
      </c>
      <c r="B51" s="475" t="s">
        <v>52</v>
      </c>
      <c r="C51" s="71" t="s">
        <v>53</v>
      </c>
      <c r="D51" s="476">
        <f t="shared" si="3"/>
        <v>723.55</v>
      </c>
      <c r="E51" s="476"/>
      <c r="F51" s="476">
        <v>77.260000000000005</v>
      </c>
      <c r="G51" s="476">
        <v>146.79</v>
      </c>
      <c r="H51" s="476">
        <v>51.16</v>
      </c>
      <c r="I51" s="476">
        <v>56.82</v>
      </c>
      <c r="J51" s="476">
        <v>46.24</v>
      </c>
      <c r="K51" s="476">
        <v>43.15</v>
      </c>
      <c r="L51" s="476">
        <v>34.93</v>
      </c>
      <c r="M51" s="476">
        <v>58.65</v>
      </c>
      <c r="N51" s="476">
        <v>43.42</v>
      </c>
      <c r="O51" s="476">
        <v>165.13</v>
      </c>
      <c r="P51" s="68"/>
      <c r="Q51" s="460"/>
    </row>
    <row r="52" spans="1:17" ht="15.75">
      <c r="A52" s="474" t="s">
        <v>160</v>
      </c>
      <c r="B52" s="475" t="s">
        <v>54</v>
      </c>
      <c r="C52" s="71" t="s">
        <v>55</v>
      </c>
      <c r="D52" s="476">
        <f t="shared" si="3"/>
        <v>120.44999999999999</v>
      </c>
      <c r="E52" s="476">
        <f>119.64+0.36-0.4+0.85</f>
        <v>120.44999999999999</v>
      </c>
      <c r="F52" s="476"/>
      <c r="G52" s="476"/>
      <c r="H52" s="476"/>
      <c r="I52" s="476"/>
      <c r="J52" s="476"/>
      <c r="K52" s="476"/>
      <c r="L52" s="476"/>
      <c r="M52" s="476"/>
      <c r="N52" s="476"/>
      <c r="O52" s="476"/>
      <c r="P52" s="68"/>
      <c r="Q52" s="460"/>
    </row>
    <row r="53" spans="1:17" ht="15.75">
      <c r="A53" s="474" t="s">
        <v>161</v>
      </c>
      <c r="B53" s="475" t="s">
        <v>56</v>
      </c>
      <c r="C53" s="71" t="s">
        <v>57</v>
      </c>
      <c r="D53" s="476">
        <f t="shared" si="3"/>
        <v>21.96</v>
      </c>
      <c r="E53" s="476">
        <v>14.42</v>
      </c>
      <c r="F53" s="476">
        <v>0.59</v>
      </c>
      <c r="G53" s="476">
        <v>1.9</v>
      </c>
      <c r="H53" s="476">
        <v>0.36</v>
      </c>
      <c r="I53" s="476">
        <v>0.56000000000000005</v>
      </c>
      <c r="J53" s="476">
        <v>0.27</v>
      </c>
      <c r="K53" s="476">
        <v>0.92</v>
      </c>
      <c r="L53" s="476">
        <v>0.39</v>
      </c>
      <c r="M53" s="476">
        <v>0.89</v>
      </c>
      <c r="N53" s="476">
        <v>1.32</v>
      </c>
      <c r="O53" s="476">
        <v>0.34</v>
      </c>
      <c r="P53" s="68"/>
      <c r="Q53" s="460"/>
    </row>
    <row r="54" spans="1:17" ht="16.5" customHeight="1">
      <c r="A54" s="474" t="s">
        <v>162</v>
      </c>
      <c r="B54" s="475" t="s">
        <v>58</v>
      </c>
      <c r="C54" s="71" t="s">
        <v>59</v>
      </c>
      <c r="D54" s="476">
        <f t="shared" si="3"/>
        <v>5.03</v>
      </c>
      <c r="E54" s="476">
        <v>0.14000000000000001</v>
      </c>
      <c r="F54" s="476"/>
      <c r="G54" s="476">
        <v>3.03</v>
      </c>
      <c r="H54" s="476">
        <v>0.77</v>
      </c>
      <c r="I54" s="476"/>
      <c r="J54" s="476"/>
      <c r="K54" s="476"/>
      <c r="L54" s="476">
        <v>1.0900000000000001</v>
      </c>
      <c r="M54" s="476"/>
      <c r="N54" s="476"/>
      <c r="O54" s="476"/>
      <c r="P54" s="68"/>
      <c r="Q54" s="460"/>
    </row>
    <row r="55" spans="1:17" ht="15.75">
      <c r="A55" s="474" t="s">
        <v>163</v>
      </c>
      <c r="B55" s="475" t="s">
        <v>60</v>
      </c>
      <c r="C55" s="71" t="s">
        <v>61</v>
      </c>
      <c r="D55" s="476"/>
      <c r="E55" s="476"/>
      <c r="F55" s="476"/>
      <c r="G55" s="476"/>
      <c r="H55" s="476"/>
      <c r="I55" s="476"/>
      <c r="J55" s="476"/>
      <c r="K55" s="476"/>
      <c r="L55" s="476"/>
      <c r="M55" s="476"/>
      <c r="N55" s="476"/>
      <c r="O55" s="476"/>
      <c r="P55" s="68"/>
      <c r="Q55" s="460"/>
    </row>
    <row r="56" spans="1:17" ht="15.75">
      <c r="A56" s="474" t="s">
        <v>164</v>
      </c>
      <c r="B56" s="475" t="s">
        <v>71</v>
      </c>
      <c r="C56" s="71" t="s">
        <v>72</v>
      </c>
      <c r="D56" s="476">
        <f t="shared" si="3"/>
        <v>0.27</v>
      </c>
      <c r="E56" s="476"/>
      <c r="F56" s="476"/>
      <c r="G56" s="476"/>
      <c r="H56" s="476"/>
      <c r="I56" s="476"/>
      <c r="J56" s="476"/>
      <c r="K56" s="476"/>
      <c r="L56" s="476"/>
      <c r="M56" s="476"/>
      <c r="N56" s="476">
        <v>0.23</v>
      </c>
      <c r="O56" s="476">
        <v>0.04</v>
      </c>
      <c r="P56" s="68"/>
      <c r="Q56" s="460"/>
    </row>
    <row r="57" spans="1:17" ht="15.75">
      <c r="A57" s="474" t="s">
        <v>165</v>
      </c>
      <c r="B57" s="475" t="s">
        <v>181</v>
      </c>
      <c r="C57" s="71" t="s">
        <v>74</v>
      </c>
      <c r="D57" s="476">
        <f t="shared" si="3"/>
        <v>1001.0600000000002</v>
      </c>
      <c r="E57" s="476">
        <v>31.6</v>
      </c>
      <c r="F57" s="476">
        <v>105.51</v>
      </c>
      <c r="G57" s="476">
        <v>190.1</v>
      </c>
      <c r="H57" s="476">
        <v>153.56</v>
      </c>
      <c r="I57" s="476">
        <v>36.880000000000003</v>
      </c>
      <c r="J57" s="476">
        <v>61.61</v>
      </c>
      <c r="K57" s="476">
        <v>88.62</v>
      </c>
      <c r="L57" s="476">
        <v>139.13999999999999</v>
      </c>
      <c r="M57" s="476">
        <v>38.92</v>
      </c>
      <c r="N57" s="476">
        <v>81.680000000000007</v>
      </c>
      <c r="O57" s="476">
        <v>73.44</v>
      </c>
      <c r="P57" s="68"/>
      <c r="Q57" s="460"/>
    </row>
    <row r="58" spans="1:17" s="488" customFormat="1" ht="15.75">
      <c r="A58" s="474" t="s">
        <v>166</v>
      </c>
      <c r="B58" s="486" t="s">
        <v>75</v>
      </c>
      <c r="C58" s="77" t="s">
        <v>76</v>
      </c>
      <c r="D58" s="476">
        <f t="shared" si="3"/>
        <v>64.550000000000011</v>
      </c>
      <c r="E58" s="476">
        <v>2.06</v>
      </c>
      <c r="F58" s="476">
        <v>16.07</v>
      </c>
      <c r="G58" s="476">
        <v>21.31</v>
      </c>
      <c r="H58" s="476"/>
      <c r="I58" s="476">
        <v>0.31</v>
      </c>
      <c r="J58" s="476"/>
      <c r="K58" s="476">
        <v>4.3099999999999996</v>
      </c>
      <c r="L58" s="476"/>
      <c r="M58" s="476">
        <v>0.84</v>
      </c>
      <c r="N58" s="476"/>
      <c r="O58" s="476">
        <v>19.649999999999999</v>
      </c>
      <c r="P58" s="78"/>
      <c r="Q58" s="487"/>
    </row>
    <row r="59" spans="1:17" ht="15.75">
      <c r="A59" s="474" t="s">
        <v>167</v>
      </c>
      <c r="B59" s="475" t="s">
        <v>77</v>
      </c>
      <c r="C59" s="71" t="s">
        <v>78</v>
      </c>
      <c r="D59" s="476">
        <f t="shared" si="3"/>
        <v>1.41</v>
      </c>
      <c r="E59" s="476"/>
      <c r="F59" s="476"/>
      <c r="G59" s="476"/>
      <c r="H59" s="476"/>
      <c r="I59" s="476">
        <v>0.98</v>
      </c>
      <c r="J59" s="476"/>
      <c r="K59" s="476"/>
      <c r="L59" s="476"/>
      <c r="M59" s="476"/>
      <c r="N59" s="476"/>
      <c r="O59" s="476">
        <v>0.43</v>
      </c>
      <c r="P59" s="68"/>
      <c r="Q59" s="460"/>
    </row>
    <row r="60" spans="1:17" ht="15.75">
      <c r="A60" s="453">
        <v>3</v>
      </c>
      <c r="B60" s="323" t="s">
        <v>79</v>
      </c>
      <c r="C60" s="324" t="s">
        <v>80</v>
      </c>
      <c r="D60" s="494">
        <f t="shared" si="3"/>
        <v>170.91000000000003</v>
      </c>
      <c r="E60" s="494"/>
      <c r="F60" s="494"/>
      <c r="G60" s="494">
        <v>11.34</v>
      </c>
      <c r="H60" s="494">
        <v>37.47</v>
      </c>
      <c r="I60" s="494">
        <v>8.14</v>
      </c>
      <c r="J60" s="494">
        <v>9.65</v>
      </c>
      <c r="K60" s="494">
        <v>11.8</v>
      </c>
      <c r="L60" s="494">
        <v>22.28</v>
      </c>
      <c r="M60" s="494"/>
      <c r="N60" s="494"/>
      <c r="O60" s="494">
        <v>70.23</v>
      </c>
      <c r="P60" s="68"/>
      <c r="Q60" s="460"/>
    </row>
    <row r="61" spans="1:17">
      <c r="M61" s="491"/>
    </row>
    <row r="62" spans="1:17">
      <c r="D62" s="455"/>
      <c r="M62" s="491"/>
    </row>
    <row r="63" spans="1:17" ht="15.75">
      <c r="E63" s="492"/>
      <c r="F63" s="492"/>
      <c r="G63" s="492"/>
      <c r="H63" s="492"/>
      <c r="I63" s="492"/>
      <c r="J63" s="492"/>
      <c r="K63" s="493"/>
      <c r="L63" s="492"/>
      <c r="M63" s="492"/>
      <c r="N63" s="492"/>
      <c r="O63" s="492"/>
      <c r="P63" s="460"/>
    </row>
    <row r="64" spans="1:17" ht="15.75">
      <c r="E64" s="492"/>
      <c r="F64" s="492"/>
      <c r="G64" s="492"/>
      <c r="H64" s="492"/>
      <c r="I64" s="492"/>
      <c r="J64" s="492"/>
      <c r="K64" s="492"/>
      <c r="L64" s="492"/>
      <c r="M64" s="492"/>
      <c r="N64" s="492"/>
      <c r="O64" s="492"/>
      <c r="P64" s="460"/>
    </row>
  </sheetData>
  <mergeCells count="8">
    <mergeCell ref="A1:B1"/>
    <mergeCell ref="A2:O2"/>
    <mergeCell ref="A3:O3"/>
    <mergeCell ref="A4:A6"/>
    <mergeCell ref="B4:B6"/>
    <mergeCell ref="C4:C6"/>
    <mergeCell ref="D4:D6"/>
    <mergeCell ref="E4:O5"/>
  </mergeCells>
  <pageMargins left="0.82" right="0.32" top="0.5" bottom="0.21" header="0.26" footer="0.42"/>
  <pageSetup paperSize="8" scale="88"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topLeftCell="A26" zoomScale="80" zoomScaleNormal="80" workbookViewId="0">
      <selection activeCell="D9" sqref="D9:G59"/>
    </sheetView>
  </sheetViews>
  <sheetFormatPr defaultColWidth="9.140625" defaultRowHeight="15.75"/>
  <cols>
    <col min="1" max="1" width="5.7109375" style="90" customWidth="1"/>
    <col min="2" max="2" width="37" style="90" customWidth="1"/>
    <col min="3" max="3" width="6.85546875" style="90" customWidth="1"/>
    <col min="4" max="4" width="13.5703125" style="90" customWidth="1"/>
    <col min="5" max="5" width="14" style="90" customWidth="1"/>
    <col min="6" max="6" width="13.42578125" style="90" bestFit="1" customWidth="1"/>
    <col min="7" max="7" width="12" style="90" customWidth="1"/>
    <col min="8" max="8" width="17.28515625" style="90" customWidth="1"/>
    <col min="9" max="9" width="25" style="90" customWidth="1"/>
    <col min="10" max="10" width="26.28515625" style="90" bestFit="1" customWidth="1"/>
    <col min="11" max="11" width="41.28515625" style="90" bestFit="1" customWidth="1"/>
    <col min="12" max="16384" width="9.140625" style="90"/>
  </cols>
  <sheetData>
    <row r="1" spans="1:11" ht="16.5">
      <c r="A1" s="248" t="s">
        <v>137</v>
      </c>
      <c r="B1" s="249"/>
      <c r="C1" s="249"/>
      <c r="D1" s="249"/>
      <c r="E1" s="249"/>
      <c r="F1" s="249"/>
      <c r="G1" s="249"/>
    </row>
    <row r="2" spans="1:11" ht="35.25" customHeight="1">
      <c r="A2" s="725" t="s">
        <v>459</v>
      </c>
      <c r="B2" s="725"/>
      <c r="C2" s="725"/>
      <c r="D2" s="725"/>
      <c r="E2" s="725"/>
      <c r="F2" s="725"/>
      <c r="G2" s="725"/>
    </row>
    <row r="3" spans="1:11" ht="32.25" customHeight="1">
      <c r="A3" s="727" t="s">
        <v>1</v>
      </c>
      <c r="B3" s="727" t="s">
        <v>2</v>
      </c>
      <c r="C3" s="727" t="s">
        <v>3</v>
      </c>
      <c r="D3" s="726" t="s">
        <v>460</v>
      </c>
      <c r="E3" s="726" t="s">
        <v>461</v>
      </c>
      <c r="F3" s="726"/>
      <c r="G3" s="726"/>
    </row>
    <row r="4" spans="1:11" ht="15.75" customHeight="1">
      <c r="A4" s="727"/>
      <c r="B4" s="727"/>
      <c r="C4" s="727"/>
      <c r="D4" s="726"/>
      <c r="E4" s="726" t="s">
        <v>122</v>
      </c>
      <c r="F4" s="726" t="s">
        <v>127</v>
      </c>
      <c r="G4" s="726"/>
    </row>
    <row r="5" spans="1:11" ht="48.75" customHeight="1">
      <c r="A5" s="727"/>
      <c r="B5" s="727"/>
      <c r="C5" s="727"/>
      <c r="D5" s="726"/>
      <c r="E5" s="726"/>
      <c r="F5" s="726" t="s">
        <v>123</v>
      </c>
      <c r="G5" s="726" t="s">
        <v>124</v>
      </c>
    </row>
    <row r="6" spans="1:11" ht="11.25" customHeight="1">
      <c r="A6" s="727"/>
      <c r="B6" s="727"/>
      <c r="C6" s="727"/>
      <c r="D6" s="726"/>
      <c r="E6" s="726"/>
      <c r="F6" s="726"/>
      <c r="G6" s="726"/>
    </row>
    <row r="7" spans="1:11" ht="33" customHeight="1">
      <c r="A7" s="227">
        <v>-1</v>
      </c>
      <c r="B7" s="227">
        <v>-2</v>
      </c>
      <c r="C7" s="227">
        <v>-3</v>
      </c>
      <c r="D7" s="227">
        <v>-4</v>
      </c>
      <c r="E7" s="227">
        <v>-5</v>
      </c>
      <c r="F7" s="228" t="s">
        <v>125</v>
      </c>
      <c r="G7" s="228" t="s">
        <v>126</v>
      </c>
    </row>
    <row r="8" spans="1:11" s="89" customFormat="1" ht="16.5">
      <c r="A8" s="245"/>
      <c r="B8" s="245" t="s">
        <v>131</v>
      </c>
      <c r="C8" s="245"/>
      <c r="D8" s="229">
        <f>D9+D21+D59</f>
        <v>143172.86000000002</v>
      </c>
      <c r="E8" s="229">
        <f>E9+E21+E59</f>
        <v>143172.85999999999</v>
      </c>
      <c r="F8" s="230">
        <f t="shared" ref="F8:F14" si="0">E8-D8</f>
        <v>0</v>
      </c>
      <c r="G8" s="230">
        <f>E8/D8*100</f>
        <v>99.999999999999972</v>
      </c>
      <c r="H8" s="91"/>
      <c r="I8" s="91"/>
      <c r="J8" s="89" t="str">
        <f>D3</f>
        <v>Kế hoạch sử dụng đất năm 2021 (ha)</v>
      </c>
      <c r="K8" s="89" t="str">
        <f>E3</f>
        <v>Kết quả thực hiện đến ngày 31/12/2021</v>
      </c>
    </row>
    <row r="9" spans="1:11" s="89" customFormat="1" ht="16.5">
      <c r="A9" s="245">
        <v>1</v>
      </c>
      <c r="B9" s="231" t="s">
        <v>6</v>
      </c>
      <c r="C9" s="245" t="s">
        <v>7</v>
      </c>
      <c r="D9" s="232">
        <f>[1]B6!$F$8</f>
        <v>134547.6</v>
      </c>
      <c r="E9" s="229">
        <f>'B1'!D10</f>
        <v>134748.66999999998</v>
      </c>
      <c r="F9" s="230">
        <f t="shared" si="0"/>
        <v>201.06999999997788</v>
      </c>
      <c r="G9" s="230">
        <f t="shared" ref="G9:G46" si="1">E9/D9*100</f>
        <v>100.14944153593224</v>
      </c>
      <c r="H9" s="92"/>
      <c r="I9" s="91" t="str">
        <f>B9</f>
        <v>Đất nông nghiệp</v>
      </c>
      <c r="J9" s="318">
        <f>D9</f>
        <v>134547.6</v>
      </c>
      <c r="K9" s="319">
        <f>E9</f>
        <v>134748.66999999998</v>
      </c>
    </row>
    <row r="10" spans="1:11" ht="16.5">
      <c r="A10" s="228" t="s">
        <v>139</v>
      </c>
      <c r="B10" s="233" t="s">
        <v>8</v>
      </c>
      <c r="C10" s="228" t="s">
        <v>9</v>
      </c>
      <c r="D10" s="234">
        <f>[1]B6!$F$9</f>
        <v>1208.05</v>
      </c>
      <c r="E10" s="235">
        <f>'B1'!D11</f>
        <v>1206.1199999999999</v>
      </c>
      <c r="F10" s="236">
        <f t="shared" si="0"/>
        <v>-1.9300000000000637</v>
      </c>
      <c r="G10" s="236">
        <f t="shared" si="1"/>
        <v>99.840238400728438</v>
      </c>
      <c r="I10" s="91" t="str">
        <f>B21</f>
        <v>Đất phi nông nghiệp</v>
      </c>
      <c r="J10" s="320">
        <f>D21</f>
        <v>8492.4500000000007</v>
      </c>
      <c r="K10" s="321">
        <f>E21</f>
        <v>8253.2800000000007</v>
      </c>
    </row>
    <row r="11" spans="1:11" s="97" customFormat="1" ht="16.5" customHeight="1">
      <c r="A11" s="237"/>
      <c r="B11" s="238" t="s">
        <v>10</v>
      </c>
      <c r="C11" s="237" t="s">
        <v>11</v>
      </c>
      <c r="D11" s="239">
        <f>[1]B6!$F$10</f>
        <v>737.03</v>
      </c>
      <c r="E11" s="235">
        <f>'B1'!D12</f>
        <v>737.82999999999993</v>
      </c>
      <c r="F11" s="236">
        <f t="shared" si="0"/>
        <v>0.79999999999995453</v>
      </c>
      <c r="G11" s="241">
        <f t="shared" si="1"/>
        <v>100.1085437499152</v>
      </c>
      <c r="H11" s="95"/>
      <c r="I11" s="96" t="str">
        <f>B59</f>
        <v>Đất chưa sử dụng</v>
      </c>
      <c r="J11" s="322">
        <f>D59</f>
        <v>132.81</v>
      </c>
      <c r="K11" s="322">
        <f>E59</f>
        <v>170.91000000000003</v>
      </c>
    </row>
    <row r="12" spans="1:11" ht="16.5">
      <c r="A12" s="228" t="s">
        <v>140</v>
      </c>
      <c r="B12" s="233" t="s">
        <v>12</v>
      </c>
      <c r="C12" s="228" t="s">
        <v>13</v>
      </c>
      <c r="D12" s="234">
        <f>[1]B6!$F$11</f>
        <v>15300.630000000001</v>
      </c>
      <c r="E12" s="235">
        <f>'B1'!D13</f>
        <v>15442.13</v>
      </c>
      <c r="F12" s="236">
        <f t="shared" si="0"/>
        <v>141.49999999999818</v>
      </c>
      <c r="G12" s="236">
        <f t="shared" si="1"/>
        <v>100.92479852136806</v>
      </c>
      <c r="H12" s="94"/>
      <c r="I12" s="91"/>
      <c r="J12" s="94"/>
      <c r="K12" s="94"/>
    </row>
    <row r="13" spans="1:11" ht="16.5">
      <c r="A13" s="228" t="s">
        <v>141</v>
      </c>
      <c r="B13" s="233" t="s">
        <v>14</v>
      </c>
      <c r="C13" s="228" t="s">
        <v>15</v>
      </c>
      <c r="D13" s="234">
        <f>[1]B6!$F$12</f>
        <v>27247.130000000005</v>
      </c>
      <c r="E13" s="235">
        <f>'B1'!D14</f>
        <v>27276.15</v>
      </c>
      <c r="F13" s="236">
        <f t="shared" si="0"/>
        <v>29.019999999996799</v>
      </c>
      <c r="G13" s="236">
        <f t="shared" si="1"/>
        <v>100.10650663023956</v>
      </c>
      <c r="I13" s="91"/>
      <c r="J13" s="94"/>
      <c r="K13" s="94"/>
    </row>
    <row r="14" spans="1:11" ht="16.5">
      <c r="A14" s="228" t="s">
        <v>142</v>
      </c>
      <c r="B14" s="233" t="s">
        <v>16</v>
      </c>
      <c r="C14" s="228" t="s">
        <v>17</v>
      </c>
      <c r="D14" s="234">
        <f>[1]B6!$F$13</f>
        <v>13303.050000000001</v>
      </c>
      <c r="E14" s="235">
        <f>'B1'!D15</f>
        <v>13322.6</v>
      </c>
      <c r="F14" s="236">
        <f t="shared" si="0"/>
        <v>19.549999999999272</v>
      </c>
      <c r="G14" s="236">
        <f t="shared" si="1"/>
        <v>100.14695878012935</v>
      </c>
      <c r="H14" s="98"/>
      <c r="I14" s="91"/>
    </row>
    <row r="15" spans="1:11" ht="16.5">
      <c r="A15" s="228" t="s">
        <v>143</v>
      </c>
      <c r="B15" s="233" t="s">
        <v>18</v>
      </c>
      <c r="C15" s="228" t="s">
        <v>19</v>
      </c>
      <c r="D15" s="234">
        <f>[1]B6!$F$14</f>
        <v>43026.239999999998</v>
      </c>
      <c r="E15" s="235">
        <f>'B1'!D16</f>
        <v>43026.239999999998</v>
      </c>
      <c r="F15" s="236">
        <f t="shared" ref="F15:F22" si="2">E15-D15</f>
        <v>0</v>
      </c>
      <c r="G15" s="236">
        <f t="shared" si="1"/>
        <v>100</v>
      </c>
      <c r="I15" s="91"/>
    </row>
    <row r="16" spans="1:11" ht="16.5">
      <c r="A16" s="228" t="s">
        <v>144</v>
      </c>
      <c r="B16" s="233" t="s">
        <v>20</v>
      </c>
      <c r="C16" s="228" t="s">
        <v>21</v>
      </c>
      <c r="D16" s="234">
        <f>[1]B6!$F$15</f>
        <v>34237.589999999997</v>
      </c>
      <c r="E16" s="235">
        <f>'B1'!D17</f>
        <v>34255.929999999993</v>
      </c>
      <c r="F16" s="236">
        <f t="shared" si="2"/>
        <v>18.339999999996508</v>
      </c>
      <c r="G16" s="236">
        <f t="shared" si="1"/>
        <v>100.05356685444274</v>
      </c>
      <c r="I16" s="91"/>
    </row>
    <row r="17" spans="1:9" s="97" customFormat="1" ht="33">
      <c r="A17" s="237"/>
      <c r="B17" s="238" t="s">
        <v>277</v>
      </c>
      <c r="C17" s="237" t="s">
        <v>281</v>
      </c>
      <c r="D17" s="240">
        <f>E17</f>
        <v>29661.95</v>
      </c>
      <c r="E17" s="240">
        <f>'B1'!D18</f>
        <v>29661.95</v>
      </c>
      <c r="F17" s="241">
        <f t="shared" si="2"/>
        <v>0</v>
      </c>
      <c r="G17" s="241"/>
      <c r="I17" s="96"/>
    </row>
    <row r="18" spans="1:9" ht="16.5">
      <c r="A18" s="228" t="s">
        <v>145</v>
      </c>
      <c r="B18" s="233" t="s">
        <v>22</v>
      </c>
      <c r="C18" s="228" t="s">
        <v>23</v>
      </c>
      <c r="D18" s="234">
        <f>[1]B6!$F$16</f>
        <v>129.27000000000001</v>
      </c>
      <c r="E18" s="235">
        <f>'B1'!D19</f>
        <v>122.69</v>
      </c>
      <c r="F18" s="236">
        <f t="shared" si="2"/>
        <v>-6.5800000000000125</v>
      </c>
      <c r="G18" s="241">
        <f t="shared" si="1"/>
        <v>94.909878548773875</v>
      </c>
      <c r="I18" s="91"/>
    </row>
    <row r="19" spans="1:9" ht="16.5">
      <c r="A19" s="228" t="s">
        <v>146</v>
      </c>
      <c r="B19" s="233" t="s">
        <v>24</v>
      </c>
      <c r="C19" s="228" t="s">
        <v>25</v>
      </c>
      <c r="D19" s="234">
        <f>[1]B6!$F$17</f>
        <v>0</v>
      </c>
      <c r="E19" s="235">
        <f>'B1'!D20</f>
        <v>0</v>
      </c>
      <c r="F19" s="236">
        <f t="shared" si="2"/>
        <v>0</v>
      </c>
      <c r="G19" s="236"/>
      <c r="I19" s="91"/>
    </row>
    <row r="20" spans="1:9" ht="16.5">
      <c r="A20" s="228" t="s">
        <v>147</v>
      </c>
      <c r="B20" s="233" t="s">
        <v>26</v>
      </c>
      <c r="C20" s="228" t="s">
        <v>27</v>
      </c>
      <c r="D20" s="234">
        <f>[1]B6!$F$18</f>
        <v>95.640000000000015</v>
      </c>
      <c r="E20" s="235">
        <f>'B1'!D21</f>
        <v>96.81</v>
      </c>
      <c r="F20" s="236">
        <f t="shared" si="2"/>
        <v>1.1699999999999875</v>
      </c>
      <c r="G20" s="236">
        <f t="shared" si="1"/>
        <v>101.2233375156838</v>
      </c>
      <c r="I20" s="93"/>
    </row>
    <row r="21" spans="1:9" s="89" customFormat="1" ht="16.5">
      <c r="A21" s="245">
        <v>2</v>
      </c>
      <c r="B21" s="242" t="s">
        <v>28</v>
      </c>
      <c r="C21" s="245" t="s">
        <v>29</v>
      </c>
      <c r="D21" s="232">
        <f>[1]B6!$F$19</f>
        <v>8492.4500000000007</v>
      </c>
      <c r="E21" s="229">
        <f>'B1'!D22</f>
        <v>8253.2800000000007</v>
      </c>
      <c r="F21" s="230">
        <f t="shared" si="2"/>
        <v>-239.17000000000007</v>
      </c>
      <c r="G21" s="230">
        <f t="shared" si="1"/>
        <v>97.183733787069698</v>
      </c>
      <c r="I21" s="91"/>
    </row>
    <row r="22" spans="1:9" ht="16.5">
      <c r="A22" s="228" t="s">
        <v>148</v>
      </c>
      <c r="B22" s="233" t="s">
        <v>30</v>
      </c>
      <c r="C22" s="228" t="s">
        <v>31</v>
      </c>
      <c r="D22" s="234">
        <f>[1]B6!$F$20</f>
        <v>118.19</v>
      </c>
      <c r="E22" s="235">
        <f>'B1'!D23</f>
        <v>117.53</v>
      </c>
      <c r="F22" s="236">
        <f t="shared" si="2"/>
        <v>-0.65999999999999659</v>
      </c>
      <c r="G22" s="236">
        <f t="shared" si="1"/>
        <v>99.44157712158389</v>
      </c>
      <c r="I22" s="91"/>
    </row>
    <row r="23" spans="1:9" ht="16.5">
      <c r="A23" s="228" t="s">
        <v>138</v>
      </c>
      <c r="B23" s="243" t="s">
        <v>32</v>
      </c>
      <c r="C23" s="244" t="s">
        <v>33</v>
      </c>
      <c r="D23" s="234">
        <f>[1]B6!$F$21</f>
        <v>0.97</v>
      </c>
      <c r="E23" s="235">
        <f>'B1'!D24</f>
        <v>0.97</v>
      </c>
      <c r="F23" s="236">
        <f t="shared" ref="F23:F25" si="3">E23-D23</f>
        <v>0</v>
      </c>
      <c r="G23" s="236"/>
      <c r="I23" s="91"/>
    </row>
    <row r="24" spans="1:9" ht="16.5">
      <c r="A24" s="228" t="s">
        <v>149</v>
      </c>
      <c r="B24" s="243" t="s">
        <v>34</v>
      </c>
      <c r="C24" s="244" t="s">
        <v>35</v>
      </c>
      <c r="D24" s="234">
        <v>0</v>
      </c>
      <c r="E24" s="235">
        <f>'B1'!D25</f>
        <v>0</v>
      </c>
      <c r="F24" s="236">
        <f t="shared" si="3"/>
        <v>0</v>
      </c>
      <c r="G24" s="236"/>
      <c r="I24" s="91"/>
    </row>
    <row r="25" spans="1:9" ht="16.5">
      <c r="A25" s="228" t="s">
        <v>150</v>
      </c>
      <c r="B25" s="243" t="s">
        <v>36</v>
      </c>
      <c r="C25" s="244" t="s">
        <v>37</v>
      </c>
      <c r="D25" s="234">
        <f>[1]B6!$F$24</f>
        <v>25</v>
      </c>
      <c r="E25" s="235">
        <f>'B1'!D26</f>
        <v>0</v>
      </c>
      <c r="F25" s="236">
        <f t="shared" si="3"/>
        <v>-25</v>
      </c>
      <c r="G25" s="236">
        <f t="shared" si="1"/>
        <v>0</v>
      </c>
      <c r="I25" s="91"/>
    </row>
    <row r="26" spans="1:9" ht="16.5">
      <c r="A26" s="228" t="s">
        <v>151</v>
      </c>
      <c r="B26" s="233" t="s">
        <v>38</v>
      </c>
      <c r="C26" s="228" t="s">
        <v>39</v>
      </c>
      <c r="D26" s="234">
        <f>[1]B6!$F$25</f>
        <v>5.39</v>
      </c>
      <c r="E26" s="235">
        <f>'B1'!D27</f>
        <v>5.169999999999999</v>
      </c>
      <c r="F26" s="236">
        <f t="shared" ref="F26:F46" si="4">E26-D26</f>
        <v>-0.22000000000000064</v>
      </c>
      <c r="G26" s="236">
        <f t="shared" si="1"/>
        <v>95.918367346938766</v>
      </c>
      <c r="I26" s="91"/>
    </row>
    <row r="27" spans="1:9" ht="16.5">
      <c r="A27" s="228" t="s">
        <v>152</v>
      </c>
      <c r="B27" s="233" t="s">
        <v>40</v>
      </c>
      <c r="C27" s="228" t="s">
        <v>41</v>
      </c>
      <c r="D27" s="234">
        <f>[1]B6!$F$26</f>
        <v>64.859999999999985</v>
      </c>
      <c r="E27" s="235">
        <f>'B1'!D28</f>
        <v>55.789999999999992</v>
      </c>
      <c r="F27" s="236">
        <f t="shared" si="4"/>
        <v>-9.0699999999999932</v>
      </c>
      <c r="G27" s="236">
        <f t="shared" si="1"/>
        <v>86.016034535923538</v>
      </c>
      <c r="I27" s="91"/>
    </row>
    <row r="28" spans="1:9" ht="36.75" customHeight="1">
      <c r="A28" s="228" t="s">
        <v>153</v>
      </c>
      <c r="B28" s="233" t="s">
        <v>42</v>
      </c>
      <c r="C28" s="228" t="s">
        <v>43</v>
      </c>
      <c r="D28" s="234">
        <f>[1]B6!$F$27</f>
        <v>4.66</v>
      </c>
      <c r="E28" s="235">
        <f>'B1'!D29</f>
        <v>4.66</v>
      </c>
      <c r="F28" s="236">
        <f t="shared" si="4"/>
        <v>0</v>
      </c>
      <c r="G28" s="236">
        <f t="shared" si="1"/>
        <v>100</v>
      </c>
      <c r="I28" s="91"/>
    </row>
    <row r="29" spans="1:9" ht="16.5" customHeight="1">
      <c r="A29" s="228" t="s">
        <v>154</v>
      </c>
      <c r="B29" s="233" t="s">
        <v>179</v>
      </c>
      <c r="C29" s="228" t="s">
        <v>66</v>
      </c>
      <c r="D29" s="234">
        <f>[1]B6!$F$50</f>
        <v>41.61</v>
      </c>
      <c r="E29" s="235">
        <f>'B1'!D30</f>
        <v>22.740000000000002</v>
      </c>
      <c r="F29" s="236">
        <f t="shared" si="4"/>
        <v>-18.869999999999997</v>
      </c>
      <c r="G29" s="236">
        <f t="shared" si="1"/>
        <v>54.650324441240095</v>
      </c>
      <c r="I29" s="91"/>
    </row>
    <row r="30" spans="1:9" ht="33">
      <c r="A30" s="228" t="s">
        <v>155</v>
      </c>
      <c r="B30" s="233" t="s">
        <v>180</v>
      </c>
      <c r="C30" s="228" t="s">
        <v>45</v>
      </c>
      <c r="D30" s="234">
        <f>SUM(D31:D46)</f>
        <v>6257.47</v>
      </c>
      <c r="E30" s="235">
        <f>'B1'!D31</f>
        <v>6091.9400000000005</v>
      </c>
      <c r="F30" s="236">
        <f t="shared" si="4"/>
        <v>-165.52999999999975</v>
      </c>
      <c r="G30" s="236">
        <f t="shared" si="1"/>
        <v>97.354681684450753</v>
      </c>
      <c r="I30" s="91"/>
    </row>
    <row r="31" spans="1:9" ht="16.5">
      <c r="A31" s="228"/>
      <c r="B31" s="233" t="s">
        <v>228</v>
      </c>
      <c r="C31" s="228" t="s">
        <v>196</v>
      </c>
      <c r="D31" s="234">
        <f>[1]B6!$F$35</f>
        <v>1275.7800000000002</v>
      </c>
      <c r="E31" s="235">
        <f>'B1'!D32</f>
        <v>1160.3399999999999</v>
      </c>
      <c r="F31" s="236">
        <f t="shared" si="4"/>
        <v>-115.44000000000028</v>
      </c>
      <c r="G31" s="236">
        <f t="shared" si="1"/>
        <v>90.951417956073911</v>
      </c>
      <c r="I31" s="91"/>
    </row>
    <row r="32" spans="1:9" ht="16.5">
      <c r="A32" s="228"/>
      <c r="B32" s="233" t="s">
        <v>229</v>
      </c>
      <c r="C32" s="228" t="s">
        <v>194</v>
      </c>
      <c r="D32" s="234">
        <f>[1]B6!$F$36</f>
        <v>107.17000000000002</v>
      </c>
      <c r="E32" s="235">
        <f>'B1'!D33</f>
        <v>92.570000000000007</v>
      </c>
      <c r="F32" s="236">
        <f t="shared" si="4"/>
        <v>-14.600000000000009</v>
      </c>
      <c r="G32" s="236">
        <f t="shared" si="1"/>
        <v>86.376784547914525</v>
      </c>
      <c r="I32" s="91"/>
    </row>
    <row r="33" spans="1:9" ht="16.5">
      <c r="A33" s="228"/>
      <c r="B33" s="233" t="s">
        <v>222</v>
      </c>
      <c r="C33" s="228" t="s">
        <v>232</v>
      </c>
      <c r="D33" s="234">
        <f>[1]B6!$F$29</f>
        <v>5.7799999999999994</v>
      </c>
      <c r="E33" s="235">
        <f>'B1'!D34</f>
        <v>6.18</v>
      </c>
      <c r="F33" s="236">
        <f t="shared" si="4"/>
        <v>0.40000000000000036</v>
      </c>
      <c r="G33" s="236">
        <f t="shared" si="1"/>
        <v>106.92041522491351</v>
      </c>
      <c r="I33" s="91"/>
    </row>
    <row r="34" spans="1:9" ht="16.5">
      <c r="A34" s="228"/>
      <c r="B34" s="233" t="s">
        <v>223</v>
      </c>
      <c r="C34" s="228" t="s">
        <v>233</v>
      </c>
      <c r="D34" s="234">
        <f>[1]B6!$F$30</f>
        <v>4.96</v>
      </c>
      <c r="E34" s="235">
        <f>'B1'!D35</f>
        <v>4.96</v>
      </c>
      <c r="F34" s="236">
        <f t="shared" si="4"/>
        <v>0</v>
      </c>
      <c r="G34" s="236">
        <f t="shared" si="1"/>
        <v>100</v>
      </c>
      <c r="H34" s="94"/>
      <c r="I34" s="91"/>
    </row>
    <row r="35" spans="1:9" s="89" customFormat="1" ht="16.5">
      <c r="A35" s="228"/>
      <c r="B35" s="233" t="s">
        <v>224</v>
      </c>
      <c r="C35" s="228" t="s">
        <v>192</v>
      </c>
      <c r="D35" s="234">
        <f>[1]B6!$F$31</f>
        <v>59.57</v>
      </c>
      <c r="E35" s="235">
        <f>'B1'!D36</f>
        <v>61.53</v>
      </c>
      <c r="F35" s="236">
        <f t="shared" si="4"/>
        <v>1.9600000000000009</v>
      </c>
      <c r="G35" s="236">
        <f t="shared" si="1"/>
        <v>103.29024676850764</v>
      </c>
      <c r="I35" s="91"/>
    </row>
    <row r="36" spans="1:9" s="89" customFormat="1" ht="16.5">
      <c r="A36" s="228"/>
      <c r="B36" s="233" t="s">
        <v>225</v>
      </c>
      <c r="C36" s="228" t="s">
        <v>195</v>
      </c>
      <c r="D36" s="234">
        <f>[1]B6!$F$32</f>
        <v>15.93</v>
      </c>
      <c r="E36" s="235">
        <f>'B1'!D37</f>
        <v>16.670000000000002</v>
      </c>
      <c r="F36" s="236">
        <f t="shared" si="4"/>
        <v>0.74000000000000199</v>
      </c>
      <c r="G36" s="236">
        <f t="shared" si="1"/>
        <v>104.64532328939109</v>
      </c>
      <c r="H36" s="92"/>
      <c r="I36" s="91"/>
    </row>
    <row r="37" spans="1:9" s="89" customFormat="1" ht="16.5">
      <c r="A37" s="228"/>
      <c r="B37" s="233" t="s">
        <v>282</v>
      </c>
      <c r="C37" s="228" t="s">
        <v>193</v>
      </c>
      <c r="D37" s="234">
        <f>[1]B6!$F$37</f>
        <v>4632.34</v>
      </c>
      <c r="E37" s="235">
        <f>'B1'!D38</f>
        <v>4617.17</v>
      </c>
      <c r="F37" s="236">
        <f t="shared" si="4"/>
        <v>-15.170000000000073</v>
      </c>
      <c r="G37" s="236">
        <f t="shared" si="1"/>
        <v>99.672519720055092</v>
      </c>
      <c r="I37" s="91"/>
    </row>
    <row r="38" spans="1:9" s="89" customFormat="1" ht="16.5">
      <c r="A38" s="228"/>
      <c r="B38" s="233" t="s">
        <v>230</v>
      </c>
      <c r="C38" s="228" t="s">
        <v>236</v>
      </c>
      <c r="D38" s="234">
        <f>[1]B6!$F$38</f>
        <v>1.02</v>
      </c>
      <c r="E38" s="235">
        <f>'B1'!D39</f>
        <v>1.02</v>
      </c>
      <c r="F38" s="236">
        <f t="shared" si="4"/>
        <v>0</v>
      </c>
      <c r="G38" s="236">
        <f t="shared" si="1"/>
        <v>100</v>
      </c>
      <c r="I38" s="91"/>
    </row>
    <row r="39" spans="1:9" ht="16.5">
      <c r="A39" s="228"/>
      <c r="B39" s="233" t="s">
        <v>278</v>
      </c>
      <c r="C39" s="228" t="s">
        <v>279</v>
      </c>
      <c r="D39" s="234"/>
      <c r="E39" s="235"/>
      <c r="F39" s="236"/>
      <c r="G39" s="236"/>
      <c r="I39" s="91"/>
    </row>
    <row r="40" spans="1:9" ht="16.5">
      <c r="A40" s="228"/>
      <c r="B40" s="233" t="s">
        <v>46</v>
      </c>
      <c r="C40" s="228" t="s">
        <v>47</v>
      </c>
      <c r="D40" s="234">
        <f>[1]B6!$F$40</f>
        <v>3.86</v>
      </c>
      <c r="E40" s="235">
        <f>'B1'!D41</f>
        <v>3.86</v>
      </c>
      <c r="F40" s="236">
        <f t="shared" si="4"/>
        <v>0</v>
      </c>
      <c r="G40" s="236">
        <f t="shared" si="1"/>
        <v>100</v>
      </c>
      <c r="I40" s="91"/>
    </row>
    <row r="41" spans="1:9" ht="16.5">
      <c r="A41" s="228"/>
      <c r="B41" s="233" t="s">
        <v>50</v>
      </c>
      <c r="C41" s="228" t="s">
        <v>51</v>
      </c>
      <c r="D41" s="234">
        <f>[1]B6!$F$42</f>
        <v>21.16</v>
      </c>
      <c r="E41" s="235">
        <f>'B1'!D42</f>
        <v>2.65</v>
      </c>
      <c r="F41" s="236">
        <f t="shared" si="4"/>
        <v>-18.510000000000002</v>
      </c>
      <c r="G41" s="236">
        <f t="shared" si="1"/>
        <v>12.523629489603024</v>
      </c>
      <c r="I41" s="91"/>
    </row>
    <row r="42" spans="1:9" ht="16.5">
      <c r="A42" s="228"/>
      <c r="B42" s="233" t="s">
        <v>62</v>
      </c>
      <c r="C42" s="228" t="s">
        <v>63</v>
      </c>
      <c r="D42" s="234">
        <f>[1]B6!$F$48</f>
        <v>5.8500000000000005</v>
      </c>
      <c r="E42" s="235">
        <f>'B1'!D43</f>
        <v>5.8500000000000005</v>
      </c>
      <c r="F42" s="236">
        <f t="shared" si="4"/>
        <v>0</v>
      </c>
      <c r="G42" s="236">
        <f t="shared" si="1"/>
        <v>100</v>
      </c>
      <c r="I42" s="91"/>
    </row>
    <row r="43" spans="1:9" ht="33">
      <c r="A43" s="228"/>
      <c r="B43" s="233" t="s">
        <v>280</v>
      </c>
      <c r="C43" s="228" t="s">
        <v>64</v>
      </c>
      <c r="D43" s="234">
        <f>[1]B6!$F$49</f>
        <v>120.86</v>
      </c>
      <c r="E43" s="235">
        <f>'B1'!D44</f>
        <v>116.25</v>
      </c>
      <c r="F43" s="236">
        <f t="shared" si="4"/>
        <v>-4.6099999999999994</v>
      </c>
      <c r="G43" s="236">
        <f t="shared" si="1"/>
        <v>96.18566936951845</v>
      </c>
      <c r="I43" s="91"/>
    </row>
    <row r="44" spans="1:9" ht="33">
      <c r="A44" s="228"/>
      <c r="B44" s="233" t="s">
        <v>226</v>
      </c>
      <c r="C44" s="228" t="s">
        <v>234</v>
      </c>
      <c r="D44" s="234"/>
      <c r="E44" s="235"/>
      <c r="F44" s="236"/>
      <c r="G44" s="236"/>
      <c r="I44" s="91"/>
    </row>
    <row r="45" spans="1:9" ht="18.75" customHeight="1">
      <c r="A45" s="228"/>
      <c r="B45" s="233" t="s">
        <v>227</v>
      </c>
      <c r="C45" s="228" t="s">
        <v>235</v>
      </c>
      <c r="D45" s="234">
        <f>[1]B6!$F$34</f>
        <v>0.66</v>
      </c>
      <c r="E45" s="235">
        <f>'B1'!D46</f>
        <v>0.66</v>
      </c>
      <c r="F45" s="236">
        <f t="shared" si="4"/>
        <v>0</v>
      </c>
      <c r="G45" s="236">
        <f t="shared" si="1"/>
        <v>100</v>
      </c>
      <c r="I45" s="91"/>
    </row>
    <row r="46" spans="1:9" ht="16.5" customHeight="1">
      <c r="A46" s="228"/>
      <c r="B46" s="233" t="s">
        <v>231</v>
      </c>
      <c r="C46" s="228" t="s">
        <v>206</v>
      </c>
      <c r="D46" s="234">
        <f>[1]B6!$F$39</f>
        <v>2.5299999999999998</v>
      </c>
      <c r="E46" s="235">
        <f>'B1'!D47</f>
        <v>2.23</v>
      </c>
      <c r="F46" s="236">
        <f t="shared" si="4"/>
        <v>-0.29999999999999982</v>
      </c>
      <c r="G46" s="236">
        <f t="shared" si="1"/>
        <v>88.142292490118578</v>
      </c>
      <c r="I46" s="91"/>
    </row>
    <row r="47" spans="1:9" s="89" customFormat="1" ht="16.5">
      <c r="A47" s="228" t="s">
        <v>156</v>
      </c>
      <c r="B47" s="247" t="s">
        <v>48</v>
      </c>
      <c r="C47" s="228" t="s">
        <v>49</v>
      </c>
      <c r="D47" s="234">
        <f>[1]B6!$F$41</f>
        <v>0</v>
      </c>
      <c r="E47" s="235">
        <f>'B1'!D48</f>
        <v>0</v>
      </c>
      <c r="F47" s="236">
        <f>E47-D47</f>
        <v>0</v>
      </c>
      <c r="G47" s="236"/>
      <c r="I47" s="91"/>
    </row>
    <row r="48" spans="1:9" ht="16.5">
      <c r="A48" s="228" t="s">
        <v>157</v>
      </c>
      <c r="B48" s="247" t="s">
        <v>67</v>
      </c>
      <c r="C48" s="228" t="s">
        <v>68</v>
      </c>
      <c r="D48" s="234">
        <f>[1]B6!$F$51</f>
        <v>13.330000000000002</v>
      </c>
      <c r="E48" s="235">
        <f>'B1'!D49</f>
        <v>13.120000000000001</v>
      </c>
      <c r="F48" s="236">
        <f t="shared" ref="F48:G59" si="5">E48-D48</f>
        <v>-0.21000000000000085</v>
      </c>
      <c r="G48" s="236">
        <f t="shared" ref="G48:G59" si="6">E48/D48*100</f>
        <v>98.424606151537873</v>
      </c>
    </row>
    <row r="49" spans="1:9" ht="16.5">
      <c r="A49" s="228" t="s">
        <v>158</v>
      </c>
      <c r="B49" s="247" t="s">
        <v>69</v>
      </c>
      <c r="C49" s="228" t="s">
        <v>70</v>
      </c>
      <c r="D49" s="234">
        <f>[1]B6!$F$52</f>
        <v>6.65</v>
      </c>
      <c r="E49" s="235">
        <f>'B1'!D50</f>
        <v>3.08</v>
      </c>
      <c r="F49" s="236">
        <f t="shared" si="5"/>
        <v>-3.5700000000000003</v>
      </c>
      <c r="G49" s="236">
        <f t="shared" si="6"/>
        <v>46.315789473684212</v>
      </c>
    </row>
    <row r="50" spans="1:9" ht="16.5">
      <c r="A50" s="228" t="s">
        <v>159</v>
      </c>
      <c r="B50" s="247" t="s">
        <v>52</v>
      </c>
      <c r="C50" s="228" t="s">
        <v>53</v>
      </c>
      <c r="D50" s="234">
        <f>[1]B6!$F$43</f>
        <v>756.21</v>
      </c>
      <c r="E50" s="235">
        <f>'B1'!D51</f>
        <v>723.55</v>
      </c>
      <c r="F50" s="236">
        <f t="shared" si="5"/>
        <v>-32.660000000000082</v>
      </c>
      <c r="G50" s="236">
        <f t="shared" si="6"/>
        <v>95.681093876039711</v>
      </c>
      <c r="I50" s="93"/>
    </row>
    <row r="51" spans="1:9" ht="16.5">
      <c r="A51" s="228" t="s">
        <v>160</v>
      </c>
      <c r="B51" s="250" t="s">
        <v>54</v>
      </c>
      <c r="C51" s="250" t="s">
        <v>55</v>
      </c>
      <c r="D51" s="316">
        <f>[1]B6!$F$44</f>
        <v>112.18000000000002</v>
      </c>
      <c r="E51" s="235">
        <f>'B1'!D52</f>
        <v>120.44999999999999</v>
      </c>
      <c r="F51" s="236">
        <f t="shared" si="5"/>
        <v>8.2699999999999676</v>
      </c>
      <c r="G51" s="236">
        <f t="shared" si="6"/>
        <v>107.37208058477444</v>
      </c>
    </row>
    <row r="52" spans="1:9" ht="16.5">
      <c r="A52" s="228" t="s">
        <v>161</v>
      </c>
      <c r="B52" s="250" t="s">
        <v>56</v>
      </c>
      <c r="C52" s="250" t="s">
        <v>57</v>
      </c>
      <c r="D52" s="316">
        <f>[1]B6!$F$45</f>
        <v>21.65</v>
      </c>
      <c r="E52" s="235">
        <f>'B1'!D53</f>
        <v>21.96</v>
      </c>
      <c r="F52" s="236">
        <f t="shared" si="5"/>
        <v>0.31000000000000227</v>
      </c>
      <c r="G52" s="236">
        <f t="shared" si="6"/>
        <v>101.43187066974598</v>
      </c>
    </row>
    <row r="53" spans="1:9" ht="16.5">
      <c r="A53" s="228" t="s">
        <v>162</v>
      </c>
      <c r="B53" s="250" t="s">
        <v>58</v>
      </c>
      <c r="C53" s="250" t="s">
        <v>59</v>
      </c>
      <c r="D53" s="316">
        <f>[1]B6!$F$46</f>
        <v>5.03</v>
      </c>
      <c r="E53" s="235">
        <f>'B1'!D54</f>
        <v>5.03</v>
      </c>
      <c r="F53" s="236">
        <f t="shared" si="5"/>
        <v>0</v>
      </c>
      <c r="G53" s="236">
        <f t="shared" si="6"/>
        <v>100</v>
      </c>
    </row>
    <row r="54" spans="1:9" ht="16.5">
      <c r="A54" s="228" t="s">
        <v>163</v>
      </c>
      <c r="B54" s="250" t="s">
        <v>60</v>
      </c>
      <c r="C54" s="250" t="s">
        <v>61</v>
      </c>
      <c r="D54" s="316">
        <f>[1]B6!$F$47</f>
        <v>0</v>
      </c>
      <c r="E54" s="235">
        <f>'B1'!D55</f>
        <v>0</v>
      </c>
      <c r="F54" s="236">
        <f t="shared" si="5"/>
        <v>0</v>
      </c>
      <c r="G54" s="236">
        <f t="shared" si="5"/>
        <v>0</v>
      </c>
    </row>
    <row r="55" spans="1:9" ht="16.5">
      <c r="A55" s="228" t="s">
        <v>164</v>
      </c>
      <c r="B55" s="250" t="s">
        <v>71</v>
      </c>
      <c r="C55" s="250" t="s">
        <v>72</v>
      </c>
      <c r="D55" s="316">
        <f>[1]B6!$F$53</f>
        <v>0.27</v>
      </c>
      <c r="E55" s="235">
        <f>'B1'!D56</f>
        <v>0.27</v>
      </c>
      <c r="F55" s="236">
        <f t="shared" si="5"/>
        <v>0</v>
      </c>
      <c r="G55" s="236">
        <f t="shared" si="6"/>
        <v>100</v>
      </c>
    </row>
    <row r="56" spans="1:9" ht="16.5">
      <c r="A56" s="228" t="s">
        <v>165</v>
      </c>
      <c r="B56" s="250" t="s">
        <v>181</v>
      </c>
      <c r="C56" s="250" t="s">
        <v>74</v>
      </c>
      <c r="D56" s="316">
        <f>[1]B6!$F$54</f>
        <v>993.02</v>
      </c>
      <c r="E56" s="235">
        <f>'B1'!D57</f>
        <v>1001.0600000000002</v>
      </c>
      <c r="F56" s="236">
        <f t="shared" si="5"/>
        <v>8.040000000000191</v>
      </c>
      <c r="G56" s="236">
        <f t="shared" si="6"/>
        <v>100.80965136653846</v>
      </c>
    </row>
    <row r="57" spans="1:9" ht="16.5">
      <c r="A57" s="228" t="s">
        <v>166</v>
      </c>
      <c r="B57" s="250" t="s">
        <v>75</v>
      </c>
      <c r="C57" s="250" t="s">
        <v>76</v>
      </c>
      <c r="D57" s="316">
        <f>[1]B6!$F$55</f>
        <v>64.550000000000011</v>
      </c>
      <c r="E57" s="235">
        <f>'B1'!D58</f>
        <v>64.550000000000011</v>
      </c>
      <c r="F57" s="236">
        <f t="shared" si="5"/>
        <v>0</v>
      </c>
      <c r="G57" s="236">
        <f t="shared" si="6"/>
        <v>100</v>
      </c>
    </row>
    <row r="58" spans="1:9" ht="16.5">
      <c r="A58" s="228" t="s">
        <v>167</v>
      </c>
      <c r="B58" s="250" t="s">
        <v>77</v>
      </c>
      <c r="C58" s="250" t="s">
        <v>78</v>
      </c>
      <c r="D58" s="316">
        <f>[1]B6!$F$56</f>
        <v>1.41</v>
      </c>
      <c r="E58" s="235">
        <f>'B1'!D59</f>
        <v>1.41</v>
      </c>
      <c r="F58" s="236">
        <f t="shared" si="5"/>
        <v>0</v>
      </c>
      <c r="G58" s="236">
        <f t="shared" si="6"/>
        <v>100</v>
      </c>
    </row>
    <row r="59" spans="1:9" s="89" customFormat="1" ht="16.5">
      <c r="A59" s="251">
        <v>3</v>
      </c>
      <c r="B59" s="251" t="s">
        <v>79</v>
      </c>
      <c r="C59" s="251" t="s">
        <v>80</v>
      </c>
      <c r="D59" s="317">
        <f>[1]B6!$F$57</f>
        <v>132.81</v>
      </c>
      <c r="E59" s="229">
        <f>'B1'!D60</f>
        <v>170.91000000000003</v>
      </c>
      <c r="F59" s="230">
        <f t="shared" si="5"/>
        <v>38.100000000000023</v>
      </c>
      <c r="G59" s="230">
        <f t="shared" si="6"/>
        <v>128.68759882538967</v>
      </c>
    </row>
  </sheetData>
  <mergeCells count="10">
    <mergeCell ref="A2:G2"/>
    <mergeCell ref="F4:G4"/>
    <mergeCell ref="E4:E6"/>
    <mergeCell ref="A3:A6"/>
    <mergeCell ref="B3:B6"/>
    <mergeCell ref="C3:C6"/>
    <mergeCell ref="D3:D6"/>
    <mergeCell ref="F5:F6"/>
    <mergeCell ref="G5:G6"/>
    <mergeCell ref="E3:G3"/>
  </mergeCells>
  <pageMargins left="0.87" right="0" top="0.4" bottom="0.28000000000000003" header="0" footer="0"/>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0"/>
  <sheetViews>
    <sheetView zoomScale="81" zoomScaleNormal="81" workbookViewId="0">
      <selection activeCell="I9" sqref="I9"/>
    </sheetView>
  </sheetViews>
  <sheetFormatPr defaultRowHeight="12.75"/>
  <cols>
    <col min="1" max="1" width="6.7109375" style="86" customWidth="1"/>
    <col min="2" max="2" width="35.85546875" customWidth="1"/>
    <col min="3" max="3" width="7.42578125" customWidth="1"/>
    <col min="4" max="4" width="12.42578125" hidden="1" customWidth="1"/>
    <col min="5" max="7" width="13.85546875" hidden="1" customWidth="1"/>
    <col min="8" max="8" width="13.7109375" customWidth="1"/>
    <col min="9" max="9" width="14.42578125" customWidth="1"/>
    <col min="10" max="19" width="14.42578125" style="12" customWidth="1"/>
    <col min="20" max="20" width="18.5703125" style="11" customWidth="1"/>
    <col min="21" max="21" width="11.28515625" bestFit="1" customWidth="1"/>
    <col min="22" max="22" width="8.28515625" customWidth="1"/>
    <col min="23" max="23" width="17" customWidth="1"/>
    <col min="24" max="25" width="8.42578125" customWidth="1"/>
    <col min="26" max="26" width="8.5703125" customWidth="1"/>
  </cols>
  <sheetData>
    <row r="1" spans="1:26" ht="15" customHeight="1">
      <c r="A1" s="729" t="s">
        <v>463</v>
      </c>
      <c r="B1" s="729"/>
      <c r="C1" s="729"/>
      <c r="D1" s="729"/>
      <c r="E1" s="729"/>
      <c r="F1" s="729"/>
      <c r="G1" s="729"/>
      <c r="H1" s="729"/>
      <c r="I1" s="729"/>
      <c r="J1" s="729"/>
      <c r="K1" s="729"/>
      <c r="L1" s="729"/>
      <c r="M1" s="729"/>
      <c r="N1" s="729"/>
      <c r="O1" s="729"/>
      <c r="P1" s="729"/>
      <c r="Q1" s="729"/>
      <c r="R1" s="729"/>
      <c r="S1" s="729"/>
      <c r="V1" s="4"/>
      <c r="W1" s="4"/>
      <c r="X1" s="4"/>
      <c r="Y1" s="4"/>
    </row>
    <row r="2" spans="1:26" ht="15.75">
      <c r="A2" s="730" t="s">
        <v>462</v>
      </c>
      <c r="B2" s="730"/>
      <c r="C2" s="730"/>
      <c r="D2" s="730"/>
      <c r="E2" s="730"/>
      <c r="F2" s="730"/>
      <c r="G2" s="730"/>
      <c r="H2" s="730"/>
      <c r="I2" s="730"/>
      <c r="J2" s="730"/>
      <c r="K2" s="730"/>
      <c r="L2" s="730"/>
      <c r="M2" s="730"/>
      <c r="N2" s="730"/>
      <c r="O2" s="730"/>
      <c r="P2" s="730"/>
      <c r="Q2" s="730"/>
      <c r="R2" s="730"/>
      <c r="S2" s="730"/>
      <c r="Y2" s="2"/>
    </row>
    <row r="3" spans="1:26" ht="15.75" customHeight="1">
      <c r="A3" s="83"/>
      <c r="B3" s="731" t="s">
        <v>0</v>
      </c>
      <c r="C3" s="731"/>
      <c r="D3" s="731"/>
      <c r="E3" s="731"/>
      <c r="F3" s="731"/>
      <c r="G3" s="731"/>
      <c r="H3" s="731"/>
      <c r="I3" s="731"/>
      <c r="J3" s="731"/>
      <c r="K3" s="731"/>
      <c r="L3" s="731"/>
      <c r="M3" s="731"/>
      <c r="N3" s="731"/>
      <c r="O3" s="731"/>
      <c r="P3" s="731"/>
      <c r="Q3" s="731"/>
      <c r="R3" s="731"/>
      <c r="S3" s="731"/>
      <c r="V3" s="6"/>
      <c r="W3" s="6"/>
      <c r="X3" s="6"/>
      <c r="Y3" s="6"/>
      <c r="Z3" s="6"/>
    </row>
    <row r="4" spans="1:26" ht="13.5" customHeight="1">
      <c r="A4" s="732" t="s">
        <v>1</v>
      </c>
      <c r="B4" s="732" t="s">
        <v>2</v>
      </c>
      <c r="C4" s="732" t="s">
        <v>3</v>
      </c>
      <c r="D4" s="100"/>
      <c r="E4" s="100"/>
      <c r="F4" s="732" t="s">
        <v>283</v>
      </c>
      <c r="G4" s="732" t="s">
        <v>284</v>
      </c>
      <c r="H4" s="732" t="s">
        <v>4</v>
      </c>
      <c r="I4" s="734" t="s">
        <v>5</v>
      </c>
      <c r="J4" s="735"/>
      <c r="K4" s="735"/>
      <c r="L4" s="735"/>
      <c r="M4" s="735"/>
      <c r="N4" s="735"/>
      <c r="O4" s="735"/>
      <c r="P4" s="735"/>
      <c r="Q4" s="735"/>
      <c r="R4" s="735"/>
      <c r="S4" s="736"/>
      <c r="V4" s="6"/>
      <c r="W4" s="6"/>
      <c r="X4" s="6"/>
      <c r="Y4" s="6"/>
      <c r="Z4" s="6"/>
    </row>
    <row r="5" spans="1:26" s="3" customFormat="1" ht="28.5">
      <c r="A5" s="733"/>
      <c r="B5" s="733"/>
      <c r="C5" s="733"/>
      <c r="D5" s="101"/>
      <c r="E5" s="101"/>
      <c r="F5" s="733"/>
      <c r="G5" s="733"/>
      <c r="H5" s="733"/>
      <c r="I5" s="13" t="s">
        <v>111</v>
      </c>
      <c r="J5" s="14" t="s">
        <v>190</v>
      </c>
      <c r="K5" s="14" t="s">
        <v>169</v>
      </c>
      <c r="L5" s="14" t="s">
        <v>170</v>
      </c>
      <c r="M5" s="14" t="s">
        <v>172</v>
      </c>
      <c r="N5" s="14" t="s">
        <v>198</v>
      </c>
      <c r="O5" s="14" t="s">
        <v>197</v>
      </c>
      <c r="P5" s="14" t="s">
        <v>191</v>
      </c>
      <c r="Q5" s="14" t="s">
        <v>189</v>
      </c>
      <c r="R5" s="14" t="s">
        <v>174</v>
      </c>
      <c r="S5" s="14" t="s">
        <v>173</v>
      </c>
      <c r="T5" s="11"/>
      <c r="U5"/>
      <c r="V5" s="7"/>
      <c r="W5" s="7"/>
      <c r="X5" s="7"/>
      <c r="Y5" s="7"/>
      <c r="Z5" s="7"/>
    </row>
    <row r="6" spans="1:26" s="10" customFormat="1" ht="15.75">
      <c r="A6" s="223" t="s">
        <v>285</v>
      </c>
      <c r="B6" s="263" t="s">
        <v>131</v>
      </c>
      <c r="C6" s="224"/>
      <c r="D6" s="225"/>
      <c r="E6" s="224"/>
      <c r="F6" s="224"/>
      <c r="G6" s="224"/>
      <c r="H6" s="226">
        <f>SUM(I6:S6)</f>
        <v>143172.86000000002</v>
      </c>
      <c r="I6" s="49">
        <f>I8+I20+I58</f>
        <v>1393.1299999999997</v>
      </c>
      <c r="J6" s="226">
        <f t="shared" ref="J6:S6" si="0">J8+J20+J58</f>
        <v>6258.6</v>
      </c>
      <c r="K6" s="226">
        <f t="shared" si="0"/>
        <v>58391.79</v>
      </c>
      <c r="L6" s="226">
        <f t="shared" si="0"/>
        <v>29828.789999999997</v>
      </c>
      <c r="M6" s="226">
        <f t="shared" si="0"/>
        <v>4035.36</v>
      </c>
      <c r="N6" s="226">
        <f t="shared" si="0"/>
        <v>3737.9900000000002</v>
      </c>
      <c r="O6" s="226">
        <f t="shared" si="0"/>
        <v>5846.2100000000009</v>
      </c>
      <c r="P6" s="226">
        <f t="shared" si="0"/>
        <v>6549.5700000000006</v>
      </c>
      <c r="Q6" s="226">
        <f t="shared" si="0"/>
        <v>3842.34</v>
      </c>
      <c r="R6" s="226">
        <f t="shared" si="0"/>
        <v>18520.400000000001</v>
      </c>
      <c r="S6" s="226">
        <f t="shared" si="0"/>
        <v>4768.6799999999985</v>
      </c>
      <c r="T6" s="40"/>
      <c r="U6" s="144"/>
      <c r="V6" s="27"/>
      <c r="W6" s="27"/>
      <c r="X6" s="27"/>
      <c r="Y6" s="27"/>
      <c r="Z6" s="27"/>
    </row>
    <row r="7" spans="1:26" s="10" customFormat="1" ht="15.75">
      <c r="A7" s="223" t="s">
        <v>285</v>
      </c>
      <c r="B7" s="263" t="s">
        <v>252</v>
      </c>
      <c r="C7" s="224"/>
      <c r="D7" s="225"/>
      <c r="E7" s="224"/>
      <c r="F7" s="224"/>
      <c r="G7" s="224"/>
      <c r="H7" s="226"/>
      <c r="I7" s="49"/>
      <c r="J7" s="226"/>
      <c r="K7" s="226"/>
      <c r="L7" s="226"/>
      <c r="M7" s="226"/>
      <c r="N7" s="226"/>
      <c r="O7" s="226"/>
      <c r="P7" s="226"/>
      <c r="Q7" s="226"/>
      <c r="R7" s="226"/>
      <c r="S7" s="226"/>
      <c r="T7" s="40"/>
      <c r="U7" s="144"/>
      <c r="V7" s="27"/>
      <c r="W7" s="27"/>
      <c r="X7" s="27"/>
      <c r="Y7" s="27"/>
      <c r="Z7" s="27"/>
    </row>
    <row r="8" spans="1:26" s="10" customFormat="1" ht="15.75">
      <c r="A8" s="84">
        <v>1</v>
      </c>
      <c r="B8" s="18" t="s">
        <v>6</v>
      </c>
      <c r="C8" s="19" t="s">
        <v>7</v>
      </c>
      <c r="D8" s="102">
        <v>133277.03</v>
      </c>
      <c r="E8" s="106">
        <f t="shared" ref="E8:E28" si="1">H8-D8</f>
        <v>1035.3099999999686</v>
      </c>
      <c r="F8" s="106"/>
      <c r="G8" s="106"/>
      <c r="H8" s="45">
        <f>SUM(I8:S8)</f>
        <v>134312.33999999997</v>
      </c>
      <c r="I8" s="448">
        <f>'B1'!E10+'CÔng Tăng'!E8-'Cộng giảm'!E8</f>
        <v>983.90999999999974</v>
      </c>
      <c r="J8" s="45">
        <f t="shared" ref="J8:S8" si="2">J9+SUM(J11:J15)+SUM(J17:J19)</f>
        <v>4792.75</v>
      </c>
      <c r="K8" s="45">
        <f t="shared" si="2"/>
        <v>57473.49</v>
      </c>
      <c r="L8" s="45">
        <f t="shared" si="2"/>
        <v>29269.899999999998</v>
      </c>
      <c r="M8" s="45">
        <f t="shared" si="2"/>
        <v>3236.58</v>
      </c>
      <c r="N8" s="45">
        <f t="shared" si="2"/>
        <v>2984.34</v>
      </c>
      <c r="O8" s="45">
        <f t="shared" si="2"/>
        <v>5553.5400000000009</v>
      </c>
      <c r="P8" s="45">
        <f t="shared" si="2"/>
        <v>6228.3700000000008</v>
      </c>
      <c r="Q8" s="45">
        <f t="shared" si="2"/>
        <v>2517.42</v>
      </c>
      <c r="R8" s="45">
        <f t="shared" si="2"/>
        <v>17037.280000000002</v>
      </c>
      <c r="S8" s="45">
        <f t="shared" si="2"/>
        <v>4234.7599999999993</v>
      </c>
      <c r="T8" s="40"/>
      <c r="U8" s="144"/>
      <c r="V8" s="28"/>
      <c r="W8" s="28"/>
      <c r="X8" s="28"/>
      <c r="Y8" s="28"/>
      <c r="Z8" s="28"/>
    </row>
    <row r="9" spans="1:26" s="12" customFormat="1" ht="15.75">
      <c r="A9" s="85" t="s">
        <v>139</v>
      </c>
      <c r="B9" s="20" t="s">
        <v>8</v>
      </c>
      <c r="C9" s="21" t="s">
        <v>9</v>
      </c>
      <c r="D9" s="103">
        <v>1148.8500000000001</v>
      </c>
      <c r="E9" s="106">
        <f t="shared" si="1"/>
        <v>48.269999999999754</v>
      </c>
      <c r="F9" s="252"/>
      <c r="G9" s="252"/>
      <c r="H9" s="46">
        <f>SUM(I9:S9)</f>
        <v>1197.1199999999999</v>
      </c>
      <c r="I9" s="46">
        <f>'B1'!E11+'CÔng Tăng'!E9-'Cộng giảm'!E9</f>
        <v>93.75</v>
      </c>
      <c r="J9" s="46">
        <f>'B1'!F11+'CÔng Tăng'!F9-'Cộng giảm'!F9</f>
        <v>89.95</v>
      </c>
      <c r="K9" s="46">
        <f>'B1'!G11+'CÔng Tăng'!G9-'Cộng giảm'!G9</f>
        <v>87.13</v>
      </c>
      <c r="L9" s="46">
        <f>'B1'!H11+'CÔng Tăng'!H9-'Cộng giảm'!H9</f>
        <v>209.35</v>
      </c>
      <c r="M9" s="46">
        <f>'B1'!I11+'CÔng Tăng'!I9-'Cộng giảm'!I9</f>
        <v>59.34</v>
      </c>
      <c r="N9" s="46">
        <f>'B1'!J11+'CÔng Tăng'!J9-'Cộng giảm'!J9</f>
        <v>81.63</v>
      </c>
      <c r="O9" s="46">
        <f>'B1'!K11+'CÔng Tăng'!K9-'Cộng giảm'!K9</f>
        <v>136.16999999999999</v>
      </c>
      <c r="P9" s="46">
        <f>'B1'!L11+'CÔng Tăng'!L9-'Cộng giảm'!L9</f>
        <v>149.88999999999999</v>
      </c>
      <c r="Q9" s="46">
        <f>'B1'!M11+'CÔng Tăng'!M9-'Cộng giảm'!M9</f>
        <v>94.44</v>
      </c>
      <c r="R9" s="46">
        <f>'B1'!N11+'CÔng Tăng'!N9-'Cộng giảm'!N9</f>
        <v>46.3</v>
      </c>
      <c r="S9" s="46">
        <f>'B1'!O11+'CÔng Tăng'!O9-'Cộng giảm'!O9</f>
        <v>149.16999999999999</v>
      </c>
      <c r="T9" s="35"/>
      <c r="U9" s="144"/>
      <c r="V9" s="8"/>
      <c r="W9" s="8"/>
      <c r="X9" s="8"/>
      <c r="Y9" s="8"/>
      <c r="Z9" s="8"/>
    </row>
    <row r="10" spans="1:26" s="119" customFormat="1" ht="13.5" customHeight="1">
      <c r="A10" s="116"/>
      <c r="B10" s="22" t="s">
        <v>10</v>
      </c>
      <c r="C10" s="23" t="s">
        <v>11</v>
      </c>
      <c r="D10" s="104">
        <v>474.21</v>
      </c>
      <c r="E10" s="117">
        <f t="shared" si="1"/>
        <v>258.92000000000013</v>
      </c>
      <c r="F10" s="253"/>
      <c r="G10" s="253"/>
      <c r="H10" s="430">
        <f t="shared" ref="H10:H72" si="3">SUM(I10:S10)</f>
        <v>733.13000000000011</v>
      </c>
      <c r="I10" s="430">
        <f>'B1'!E12+'CÔng Tăng'!E10-'Cộng giảm'!E10</f>
        <v>86.11</v>
      </c>
      <c r="J10" s="430">
        <f>'B1'!F12+'CÔng Tăng'!F10-'Cộng giảm'!F10</f>
        <v>39.06</v>
      </c>
      <c r="K10" s="430">
        <f>'B1'!G12+'CÔng Tăng'!G10-'Cộng giảm'!G10</f>
        <v>37.83</v>
      </c>
      <c r="L10" s="430">
        <f>'B1'!H12+'CÔng Tăng'!H10-'Cộng giảm'!H10</f>
        <v>69.12</v>
      </c>
      <c r="M10" s="430">
        <f>'B1'!I12+'CÔng Tăng'!I10-'Cộng giảm'!I10</f>
        <v>34.01</v>
      </c>
      <c r="N10" s="430">
        <f>'B1'!J12+'CÔng Tăng'!J10-'Cộng giảm'!J10</f>
        <v>45.38</v>
      </c>
      <c r="O10" s="430">
        <f>'B1'!K12+'CÔng Tăng'!K10-'Cộng giảm'!K10</f>
        <v>137.36000000000001</v>
      </c>
      <c r="P10" s="430">
        <f>'B1'!L12+'CÔng Tăng'!L10-'Cộng giảm'!L10</f>
        <v>82.81</v>
      </c>
      <c r="Q10" s="430">
        <f>'B1'!M12+'CÔng Tăng'!M10-'Cộng giảm'!M10</f>
        <v>19.97</v>
      </c>
      <c r="R10" s="430">
        <f>'B1'!N12+'CÔng Tăng'!N10-'Cộng giảm'!N10</f>
        <v>37.67</v>
      </c>
      <c r="S10" s="430">
        <f>'B1'!O12+'CÔng Tăng'!O10-'Cộng giảm'!O10</f>
        <v>143.81</v>
      </c>
      <c r="T10" s="118"/>
      <c r="U10" s="255"/>
      <c r="V10" s="120"/>
      <c r="W10" s="120"/>
      <c r="X10" s="120"/>
      <c r="Y10" s="120"/>
      <c r="Z10" s="120"/>
    </row>
    <row r="11" spans="1:26" s="11" customFormat="1" ht="15.75">
      <c r="A11" s="85" t="s">
        <v>140</v>
      </c>
      <c r="B11" s="20" t="s">
        <v>12</v>
      </c>
      <c r="C11" s="21" t="s">
        <v>13</v>
      </c>
      <c r="D11" s="103">
        <v>8503.5</v>
      </c>
      <c r="E11" s="106">
        <f t="shared" si="1"/>
        <v>6269.33</v>
      </c>
      <c r="F11" s="252"/>
      <c r="G11" s="252"/>
      <c r="H11" s="46">
        <f t="shared" si="3"/>
        <v>14772.83</v>
      </c>
      <c r="I11" s="46">
        <f>'B1'!E13+'CÔng Tăng'!E11-'Cộng giảm'!E11</f>
        <v>50.399999999999991</v>
      </c>
      <c r="J11" s="46">
        <f>'B1'!F13+'CÔng Tăng'!F11-'Cộng giảm'!F11</f>
        <v>308.29000000000002</v>
      </c>
      <c r="K11" s="46">
        <f>'B1'!G13+'CÔng Tăng'!G11-'Cộng giảm'!G11</f>
        <v>1462.31</v>
      </c>
      <c r="L11" s="46">
        <f>'B1'!H13+'CÔng Tăng'!H11-'Cộng giảm'!H11</f>
        <v>1466.17</v>
      </c>
      <c r="M11" s="46">
        <f>'B1'!I13+'CÔng Tăng'!I11-'Cộng giảm'!I11</f>
        <v>1738.1699999999998</v>
      </c>
      <c r="N11" s="46">
        <f>'B1'!J13+'CÔng Tăng'!J11-'Cộng giảm'!J11</f>
        <v>736.97</v>
      </c>
      <c r="O11" s="46">
        <f>'B1'!K13+'CÔng Tăng'!K11-'Cộng giảm'!K11</f>
        <v>583.11</v>
      </c>
      <c r="P11" s="46">
        <f>'B1'!L13+'CÔng Tăng'!L11-'Cộng giảm'!L11</f>
        <v>888.43000000000006</v>
      </c>
      <c r="Q11" s="46">
        <f>'B1'!M13+'CÔng Tăng'!M11-'Cộng giảm'!M11</f>
        <v>1191.32</v>
      </c>
      <c r="R11" s="46">
        <f>'B1'!N13+'CÔng Tăng'!N11-'Cộng giảm'!N11</f>
        <v>4175.1500000000005</v>
      </c>
      <c r="S11" s="46">
        <f>'B1'!O13+'CÔng Tăng'!O11-'Cộng giảm'!O11</f>
        <v>2172.5099999999998</v>
      </c>
      <c r="T11" s="35"/>
      <c r="U11" s="144"/>
      <c r="V11" s="33"/>
      <c r="W11" s="33"/>
      <c r="X11" s="33"/>
      <c r="Y11" s="33"/>
      <c r="Z11" s="33"/>
    </row>
    <row r="12" spans="1:26" s="11" customFormat="1" ht="15.75">
      <c r="A12" s="85" t="s">
        <v>141</v>
      </c>
      <c r="B12" s="20" t="s">
        <v>14</v>
      </c>
      <c r="C12" s="21" t="s">
        <v>15</v>
      </c>
      <c r="D12" s="103">
        <v>17879.13</v>
      </c>
      <c r="E12" s="106">
        <f t="shared" si="1"/>
        <v>9153.1099999999969</v>
      </c>
      <c r="F12" s="252"/>
      <c r="G12" s="252"/>
      <c r="H12" s="46">
        <f t="shared" si="3"/>
        <v>27032.239999999998</v>
      </c>
      <c r="I12" s="46">
        <f>'B1'!E14+'CÔng Tăng'!E12-'Cộng giảm'!E12</f>
        <v>738.65</v>
      </c>
      <c r="J12" s="46">
        <f>'B1'!F14+'CÔng Tăng'!F12-'Cộng giảm'!F12</f>
        <v>3041.21</v>
      </c>
      <c r="K12" s="46">
        <f>'B1'!G14+'CÔng Tăng'!G12-'Cộng giảm'!G12</f>
        <v>8051.06</v>
      </c>
      <c r="L12" s="46">
        <f>'B1'!H14+'CÔng Tăng'!H12-'Cộng giảm'!H12</f>
        <v>3337.99</v>
      </c>
      <c r="M12" s="46">
        <f>'B1'!I14+'CÔng Tăng'!I12-'Cộng giảm'!I12</f>
        <v>1343.8300000000002</v>
      </c>
      <c r="N12" s="46">
        <f>'B1'!J14+'CÔng Tăng'!J12-'Cộng giảm'!J12</f>
        <v>1828.52</v>
      </c>
      <c r="O12" s="46">
        <f>'B1'!K14+'CÔng Tăng'!K12-'Cộng giảm'!K12</f>
        <v>2263.48</v>
      </c>
      <c r="P12" s="46">
        <f>'B1'!L14+'CÔng Tăng'!L12-'Cộng giảm'!L12</f>
        <v>2408.12</v>
      </c>
      <c r="Q12" s="46">
        <f>'B1'!M14+'CÔng Tăng'!M12-'Cộng giảm'!M12</f>
        <v>1175.51</v>
      </c>
      <c r="R12" s="46">
        <f>'B1'!N14+'CÔng Tăng'!N12-'Cộng giảm'!N12</f>
        <v>1039.54</v>
      </c>
      <c r="S12" s="46">
        <f>'B1'!O14+'CÔng Tăng'!O12-'Cộng giảm'!O12</f>
        <v>1804.33</v>
      </c>
      <c r="T12" s="35"/>
      <c r="U12" s="144"/>
      <c r="V12" s="34"/>
      <c r="W12" s="34"/>
      <c r="X12" s="34"/>
      <c r="Y12" s="34"/>
      <c r="Z12" s="34"/>
    </row>
    <row r="13" spans="1:26" s="12" customFormat="1" ht="15.75">
      <c r="A13" s="85" t="s">
        <v>142</v>
      </c>
      <c r="B13" s="20" t="s">
        <v>16</v>
      </c>
      <c r="C13" s="21" t="s">
        <v>17</v>
      </c>
      <c r="D13" s="103">
        <v>15274.499999999998</v>
      </c>
      <c r="E13" s="106">
        <f t="shared" si="1"/>
        <v>-1989.2599999999984</v>
      </c>
      <c r="F13" s="252"/>
      <c r="G13" s="252"/>
      <c r="H13" s="46">
        <f t="shared" si="3"/>
        <v>13285.24</v>
      </c>
      <c r="I13" s="46">
        <f>'B1'!E15+'CÔng Tăng'!E13-'Cộng giảm'!E13</f>
        <v>0</v>
      </c>
      <c r="J13" s="46">
        <f>'B1'!F15+'CÔng Tăng'!F13-'Cộng giảm'!F13</f>
        <v>0</v>
      </c>
      <c r="K13" s="46">
        <f>'B1'!G15+'CÔng Tăng'!G13-'Cộng giảm'!G13</f>
        <v>3830.66</v>
      </c>
      <c r="L13" s="46">
        <f>'B1'!H15+'CÔng Tăng'!H13-'Cộng giảm'!H13</f>
        <v>0</v>
      </c>
      <c r="M13" s="46">
        <f>'B1'!I15+'CÔng Tăng'!I13-'Cộng giảm'!I13</f>
        <v>0</v>
      </c>
      <c r="N13" s="46">
        <f>'B1'!J15+'CÔng Tăng'!J13-'Cộng giảm'!J13</f>
        <v>0</v>
      </c>
      <c r="O13" s="46">
        <f>'B1'!K15+'CÔng Tăng'!K13-'Cộng giảm'!K13</f>
        <v>0</v>
      </c>
      <c r="P13" s="46">
        <f>'B1'!L15+'CÔng Tăng'!L13-'Cộng giảm'!L13</f>
        <v>0</v>
      </c>
      <c r="Q13" s="46">
        <f>'B1'!M15+'CÔng Tăng'!M13-'Cộng giảm'!M13</f>
        <v>0</v>
      </c>
      <c r="R13" s="46">
        <f>'B1'!N15+'CÔng Tăng'!N13-'Cộng giảm'!N13</f>
        <v>9380.68</v>
      </c>
      <c r="S13" s="46">
        <f>'B1'!O15+'CÔng Tăng'!O13-'Cộng giảm'!O13</f>
        <v>73.900000000000006</v>
      </c>
      <c r="T13" s="35"/>
      <c r="U13" s="144"/>
      <c r="V13" s="8"/>
      <c r="W13" s="8"/>
      <c r="X13" s="8"/>
      <c r="Y13" s="8"/>
      <c r="Z13" s="8"/>
    </row>
    <row r="14" spans="1:26" s="12" customFormat="1" ht="15.75">
      <c r="A14" s="85" t="s">
        <v>143</v>
      </c>
      <c r="B14" s="20" t="s">
        <v>18</v>
      </c>
      <c r="C14" s="21" t="s">
        <v>19</v>
      </c>
      <c r="D14" s="103">
        <v>44138.469999999994</v>
      </c>
      <c r="E14" s="106">
        <f t="shared" si="1"/>
        <v>-1134.2299999999959</v>
      </c>
      <c r="F14" s="252"/>
      <c r="G14" s="252"/>
      <c r="H14" s="46">
        <f t="shared" si="3"/>
        <v>43004.24</v>
      </c>
      <c r="I14" s="46">
        <f>'B1'!E16+'CÔng Tăng'!E14-'Cộng giảm'!E14</f>
        <v>73.260000000000005</v>
      </c>
      <c r="J14" s="46">
        <f>'B1'!F16+'CÔng Tăng'!F14-'Cộng giảm'!F14</f>
        <v>0</v>
      </c>
      <c r="K14" s="46">
        <f>'B1'!G16+'CÔng Tăng'!G14-'Cộng giảm'!G14</f>
        <v>17584</v>
      </c>
      <c r="L14" s="46">
        <f>'B1'!H16+'CÔng Tăng'!H14-'Cộng giảm'!H14</f>
        <v>21330.13</v>
      </c>
      <c r="M14" s="46">
        <f>'B1'!I16+'CÔng Tăng'!I14-'Cộng giảm'!I14</f>
        <v>0</v>
      </c>
      <c r="N14" s="46">
        <f>'B1'!J16+'CÔng Tăng'!J14-'Cộng giảm'!J14</f>
        <v>0</v>
      </c>
      <c r="O14" s="46">
        <f>'B1'!K16+'CÔng Tăng'!K14-'Cộng giảm'!K14</f>
        <v>1538.22</v>
      </c>
      <c r="P14" s="46">
        <f>'B1'!L16+'CÔng Tăng'!L14-'Cộng giảm'!L14</f>
        <v>2478.63</v>
      </c>
      <c r="Q14" s="46">
        <f>'B1'!M16+'CÔng Tăng'!M14-'Cộng giảm'!M14</f>
        <v>0</v>
      </c>
      <c r="R14" s="46">
        <f>'B1'!N16+'CÔng Tăng'!N14-'Cộng giảm'!N14</f>
        <v>0</v>
      </c>
      <c r="S14" s="46">
        <f>'B1'!O16+'CÔng Tăng'!O14-'Cộng giảm'!O14</f>
        <v>0</v>
      </c>
      <c r="T14" s="35"/>
      <c r="U14" s="144"/>
      <c r="V14" s="9"/>
      <c r="W14" s="9"/>
      <c r="X14" s="9"/>
      <c r="Y14" s="9"/>
      <c r="Z14" s="9"/>
    </row>
    <row r="15" spans="1:26" s="11" customFormat="1" ht="15.75">
      <c r="A15" s="85" t="s">
        <v>144</v>
      </c>
      <c r="B15" s="20" t="s">
        <v>20</v>
      </c>
      <c r="C15" s="21" t="s">
        <v>21</v>
      </c>
      <c r="D15" s="103">
        <v>45769.380000000005</v>
      </c>
      <c r="E15" s="106">
        <f t="shared" si="1"/>
        <v>-11026.030000000006</v>
      </c>
      <c r="F15" s="252"/>
      <c r="G15" s="252"/>
      <c r="H15" s="46">
        <f t="shared" si="3"/>
        <v>34743.35</v>
      </c>
      <c r="I15" s="46">
        <f>'B1'!E17+'CÔng Tăng'!E15-'Cộng giảm'!E15</f>
        <v>14.5</v>
      </c>
      <c r="J15" s="46">
        <f>'B1'!F17+'CÔng Tăng'!F15-'Cộng giảm'!F15</f>
        <v>1342.72</v>
      </c>
      <c r="K15" s="46">
        <f>'B1'!G17+'CÔng Tăng'!G15-'Cộng giảm'!G15</f>
        <v>26358.16</v>
      </c>
      <c r="L15" s="46">
        <f>'B1'!H17+'CÔng Tăng'!H15-'Cộng giảm'!H15</f>
        <v>2863.6</v>
      </c>
      <c r="M15" s="46">
        <f>'B1'!I17+'CÔng Tăng'!I15-'Cộng giảm'!I15</f>
        <v>87.14</v>
      </c>
      <c r="N15" s="46">
        <f>'B1'!J17+'CÔng Tăng'!J15-'Cộng giảm'!J15</f>
        <v>316.3</v>
      </c>
      <c r="O15" s="46">
        <f>'B1'!K17+'CÔng Tăng'!K15-'Cộng giảm'!K15</f>
        <v>1015.59</v>
      </c>
      <c r="P15" s="46">
        <f>'B1'!L17+'CÔng Tăng'!L15-'Cộng giảm'!L15</f>
        <v>279.31</v>
      </c>
      <c r="Q15" s="46">
        <f>'B1'!M17+'CÔng Tăng'!M15-'Cộng giảm'!M15</f>
        <v>41.21</v>
      </c>
      <c r="R15" s="46">
        <f>'B1'!N17+'CÔng Tăng'!N15-'Cộng giảm'!N15</f>
        <v>2393.87</v>
      </c>
      <c r="S15" s="46">
        <f>'B1'!O17+'CÔng Tăng'!O15-'Cộng giảm'!O15</f>
        <v>30.95</v>
      </c>
      <c r="T15" s="35"/>
      <c r="U15" s="144"/>
      <c r="V15" s="34"/>
      <c r="W15" s="34"/>
      <c r="X15" s="34"/>
      <c r="Y15" s="34"/>
      <c r="Z15" s="34"/>
    </row>
    <row r="16" spans="1:26" s="119" customFormat="1" ht="30">
      <c r="A16" s="116"/>
      <c r="B16" s="22" t="s">
        <v>277</v>
      </c>
      <c r="C16" s="23" t="s">
        <v>281</v>
      </c>
      <c r="D16" s="104">
        <v>111.01000000000002</v>
      </c>
      <c r="E16" s="117">
        <f t="shared" si="1"/>
        <v>29550.940000000002</v>
      </c>
      <c r="F16" s="253"/>
      <c r="G16" s="253"/>
      <c r="H16" s="430">
        <f t="shared" si="3"/>
        <v>29661.95</v>
      </c>
      <c r="I16" s="430">
        <f>'B1'!E18+'CÔng Tăng'!E16-'Cộng giảm'!E16</f>
        <v>9.57</v>
      </c>
      <c r="J16" s="430">
        <f>'B1'!F18+'CÔng Tăng'!F16-'Cộng giảm'!F16</f>
        <v>622.98</v>
      </c>
      <c r="K16" s="430">
        <f>'B1'!G18+'CÔng Tăng'!G16-'Cộng giảm'!G16</f>
        <v>24452.27</v>
      </c>
      <c r="L16" s="430">
        <f>'B1'!H18+'CÔng Tăng'!H16-'Cộng giảm'!H16</f>
        <v>1344.23</v>
      </c>
      <c r="M16" s="430">
        <f>'B1'!I18+'CÔng Tăng'!I16-'Cộng giảm'!I16</f>
        <v>58.8</v>
      </c>
      <c r="N16" s="430">
        <f>'B1'!J18+'CÔng Tăng'!J16-'Cộng giảm'!J16</f>
        <v>314.8</v>
      </c>
      <c r="O16" s="430">
        <f>'B1'!K18+'CÔng Tăng'!K16-'Cộng giảm'!K16</f>
        <v>740.52</v>
      </c>
      <c r="P16" s="430">
        <f>'B1'!L18+'CÔng Tăng'!L16-'Cộng giảm'!L16</f>
        <v>279.31</v>
      </c>
      <c r="Q16" s="430">
        <f>'B1'!M18+'CÔng Tăng'!M16-'Cộng giảm'!M16</f>
        <v>41.21</v>
      </c>
      <c r="R16" s="430">
        <f>'B1'!N18+'CÔng Tăng'!N16-'Cộng giảm'!N16</f>
        <v>1790.9</v>
      </c>
      <c r="S16" s="430">
        <f>'B1'!O18+'CÔng Tăng'!O16-'Cộng giảm'!O16</f>
        <v>7.36</v>
      </c>
      <c r="T16" s="118"/>
      <c r="U16" s="255"/>
      <c r="V16" s="256"/>
      <c r="W16" s="256"/>
      <c r="X16" s="256"/>
      <c r="Y16" s="256"/>
      <c r="Z16" s="256"/>
    </row>
    <row r="17" spans="1:26" s="12" customFormat="1" ht="15.75">
      <c r="A17" s="85" t="s">
        <v>145</v>
      </c>
      <c r="B17" s="20" t="s">
        <v>22</v>
      </c>
      <c r="C17" s="21" t="s">
        <v>23</v>
      </c>
      <c r="D17" s="103"/>
      <c r="E17" s="106">
        <f t="shared" si="1"/>
        <v>129.5</v>
      </c>
      <c r="F17" s="252"/>
      <c r="G17" s="252"/>
      <c r="H17" s="46">
        <f t="shared" si="3"/>
        <v>129.5</v>
      </c>
      <c r="I17" s="46">
        <f>'B1'!E19+'CÔng Tăng'!E17-'Cộng giảm'!E17</f>
        <v>9.5400000000000009</v>
      </c>
      <c r="J17" s="46">
        <f>'B1'!F19+'CÔng Tăng'!F17-'Cộng giảm'!F17</f>
        <v>4.7</v>
      </c>
      <c r="K17" s="46">
        <f>'B1'!G19+'CÔng Tăng'!G17-'Cộng giảm'!G17</f>
        <v>13.370000000000001</v>
      </c>
      <c r="L17" s="46">
        <f>'B1'!H19+'CÔng Tăng'!H17-'Cộng giảm'!H17</f>
        <v>26.26</v>
      </c>
      <c r="M17" s="46">
        <f>'B1'!I19+'CÔng Tăng'!I17-'Cộng giảm'!I17</f>
        <v>4.3</v>
      </c>
      <c r="N17" s="46">
        <f>'B1'!J19+'CÔng Tăng'!J17-'Cộng giảm'!J17</f>
        <v>17.190000000000001</v>
      </c>
      <c r="O17" s="46">
        <f>'B1'!K19+'CÔng Tăng'!K17-'Cộng giảm'!K17</f>
        <v>16.97</v>
      </c>
      <c r="P17" s="46">
        <f>'B1'!L19+'CÔng Tăng'!L17-'Cộng giảm'!L17</f>
        <v>23.99</v>
      </c>
      <c r="Q17" s="46">
        <f>'B1'!M19+'CÔng Tăng'!M17-'Cộng giảm'!M17</f>
        <v>7.54</v>
      </c>
      <c r="R17" s="46">
        <f>'B1'!N19+'CÔng Tăng'!N17-'Cộng giảm'!N17</f>
        <v>1.74</v>
      </c>
      <c r="S17" s="46">
        <f>'B1'!O19+'CÔng Tăng'!O17-'Cộng giảm'!O17</f>
        <v>3.9</v>
      </c>
      <c r="T17" s="35"/>
      <c r="U17" s="144"/>
      <c r="V17" s="8"/>
      <c r="W17" s="8"/>
      <c r="X17" s="8"/>
      <c r="Y17" s="8"/>
      <c r="Z17" s="8"/>
    </row>
    <row r="18" spans="1:26" s="12" customFormat="1" ht="15.75">
      <c r="A18" s="85" t="s">
        <v>146</v>
      </c>
      <c r="B18" s="20" t="s">
        <v>24</v>
      </c>
      <c r="C18" s="21" t="s">
        <v>25</v>
      </c>
      <c r="D18" s="103">
        <v>452.19</v>
      </c>
      <c r="E18" s="106">
        <f t="shared" si="1"/>
        <v>-452.19</v>
      </c>
      <c r="F18" s="252"/>
      <c r="G18" s="252"/>
      <c r="H18" s="46">
        <f t="shared" si="3"/>
        <v>0</v>
      </c>
      <c r="I18" s="46">
        <f>'B1'!E20+'CÔng Tăng'!E18-'Cộng giảm'!E18</f>
        <v>0</v>
      </c>
      <c r="J18" s="46">
        <f>'B1'!F20+'CÔng Tăng'!F18-'Cộng giảm'!F18</f>
        <v>0</v>
      </c>
      <c r="K18" s="46">
        <f>'B1'!G20+'CÔng Tăng'!G18-'Cộng giảm'!G18</f>
        <v>0</v>
      </c>
      <c r="L18" s="46">
        <f>'B1'!H20+'CÔng Tăng'!H18-'Cộng giảm'!H18</f>
        <v>0</v>
      </c>
      <c r="M18" s="46">
        <f>'B1'!I20+'CÔng Tăng'!I18-'Cộng giảm'!I18</f>
        <v>0</v>
      </c>
      <c r="N18" s="46">
        <f>'B1'!J20+'CÔng Tăng'!J18-'Cộng giảm'!J18</f>
        <v>0</v>
      </c>
      <c r="O18" s="46">
        <f>'B1'!K20+'CÔng Tăng'!K18-'Cộng giảm'!K18</f>
        <v>0</v>
      </c>
      <c r="P18" s="46">
        <f>'B1'!L20+'CÔng Tăng'!L18-'Cộng giảm'!L18</f>
        <v>0</v>
      </c>
      <c r="Q18" s="46">
        <f>'B1'!M20+'CÔng Tăng'!M18-'Cộng giảm'!M18</f>
        <v>0</v>
      </c>
      <c r="R18" s="46">
        <f>'B1'!N20+'CÔng Tăng'!N18-'Cộng giảm'!N18</f>
        <v>0</v>
      </c>
      <c r="S18" s="46">
        <f>'B1'!O20+'CÔng Tăng'!O18-'Cộng giảm'!O18</f>
        <v>0</v>
      </c>
      <c r="T18" s="35"/>
      <c r="U18" s="144"/>
      <c r="V18" s="8"/>
      <c r="W18" s="8"/>
      <c r="X18" s="8"/>
      <c r="Y18" s="8"/>
      <c r="Z18" s="8"/>
    </row>
    <row r="19" spans="1:26" s="145" customFormat="1" ht="15.75">
      <c r="A19" s="85" t="s">
        <v>147</v>
      </c>
      <c r="B19" s="20" t="s">
        <v>26</v>
      </c>
      <c r="C19" s="21" t="s">
        <v>27</v>
      </c>
      <c r="D19" s="103">
        <v>9759.39</v>
      </c>
      <c r="E19" s="257">
        <f t="shared" si="1"/>
        <v>-9611.57</v>
      </c>
      <c r="F19" s="258"/>
      <c r="G19" s="258"/>
      <c r="H19" s="46">
        <f t="shared" si="3"/>
        <v>147.82</v>
      </c>
      <c r="I19" s="46">
        <f>'B1'!E21+'CÔng Tăng'!E19-'Cộng giảm'!E19</f>
        <v>3.81</v>
      </c>
      <c r="J19" s="46">
        <f>'B1'!F21+'CÔng Tăng'!F19-'Cộng giảm'!F19</f>
        <v>5.88</v>
      </c>
      <c r="K19" s="46">
        <f>'B1'!G21+'CÔng Tăng'!G19-'Cộng giảm'!G19</f>
        <v>86.8</v>
      </c>
      <c r="L19" s="46">
        <f>'B1'!H21+'CÔng Tăng'!H19-'Cộng giảm'!H19</f>
        <v>36.400000000000006</v>
      </c>
      <c r="M19" s="46">
        <f>'B1'!I21+'CÔng Tăng'!I19-'Cộng giảm'!I19</f>
        <v>3.8</v>
      </c>
      <c r="N19" s="46">
        <f>'B1'!J21+'CÔng Tăng'!J19-'Cộng giảm'!J19</f>
        <v>3.73</v>
      </c>
      <c r="O19" s="46">
        <f>'B1'!K21+'CÔng Tăng'!K19-'Cộng giảm'!K19</f>
        <v>0</v>
      </c>
      <c r="P19" s="46">
        <f>'B1'!L21+'CÔng Tăng'!L19-'Cộng giảm'!L19</f>
        <v>0</v>
      </c>
      <c r="Q19" s="46">
        <f>'B1'!M21+'CÔng Tăng'!M19-'Cộng giảm'!M19</f>
        <v>7.4</v>
      </c>
      <c r="R19" s="46">
        <f>'B1'!N21+'CÔng Tăng'!N19-'Cộng giảm'!N19</f>
        <v>0</v>
      </c>
      <c r="S19" s="46">
        <f>'B1'!O21+'CÔng Tăng'!O19-'Cộng giảm'!O19</f>
        <v>0</v>
      </c>
      <c r="T19" s="35"/>
      <c r="U19" s="259"/>
      <c r="V19" s="8"/>
      <c r="W19" s="8"/>
      <c r="X19" s="8"/>
      <c r="Y19" s="8"/>
      <c r="Z19" s="8"/>
    </row>
    <row r="20" spans="1:26" s="10" customFormat="1" ht="15.75">
      <c r="A20" s="43">
        <v>2</v>
      </c>
      <c r="B20" s="24" t="s">
        <v>28</v>
      </c>
      <c r="C20" s="25" t="s">
        <v>29</v>
      </c>
      <c r="D20" s="105">
        <v>380.49</v>
      </c>
      <c r="E20" s="106">
        <f t="shared" si="1"/>
        <v>8324.67</v>
      </c>
      <c r="F20" s="252"/>
      <c r="G20" s="252"/>
      <c r="H20" s="47">
        <f t="shared" si="3"/>
        <v>8705.16</v>
      </c>
      <c r="I20" s="47">
        <f>'B1'!E22+'CÔng Tăng'!E20-'Cộng giảm'!E20</f>
        <v>409.21999999999997</v>
      </c>
      <c r="J20" s="47">
        <f>'B1'!F22+'CÔng Tăng'!F20-'Cộng giảm'!F20</f>
        <v>1465.85</v>
      </c>
      <c r="K20" s="47">
        <f>'B1'!G22+'CÔng Tăng'!G20-'Cộng giảm'!G20</f>
        <v>908.51</v>
      </c>
      <c r="L20" s="47">
        <f>'B1'!H22+'CÔng Tăng'!H20-'Cộng giảm'!H20</f>
        <v>522.41999999999996</v>
      </c>
      <c r="M20" s="47">
        <f>'B1'!I22+'CÔng Tăng'!I20-'Cộng giảm'!I20</f>
        <v>790.6400000000001</v>
      </c>
      <c r="N20" s="47">
        <f>'B1'!J22+'CÔng Tăng'!J20-'Cộng giảm'!J20</f>
        <v>744.00000000000011</v>
      </c>
      <c r="O20" s="47">
        <f>'B1'!K22+'CÔng Tăng'!K20-'Cộng giảm'!K20</f>
        <v>280.87</v>
      </c>
      <c r="P20" s="47">
        <f>'B1'!L22+'CÔng Tăng'!L20-'Cộng giảm'!L20</f>
        <v>299.91999999999996</v>
      </c>
      <c r="Q20" s="47">
        <f>'B1'!M22+'CÔng Tăng'!M20-'Cộng giảm'!M20</f>
        <v>1324.9199999999998</v>
      </c>
      <c r="R20" s="47">
        <f>'B1'!N22+'CÔng Tăng'!N20-'Cộng giảm'!N20</f>
        <v>1483.1199999999997</v>
      </c>
      <c r="S20" s="47">
        <f>'B1'!O22+'CÔng Tăng'!O20-'Cộng giảm'!O20</f>
        <v>475.69</v>
      </c>
      <c r="T20" s="40"/>
      <c r="U20" s="144"/>
      <c r="V20" s="28"/>
      <c r="W20" s="28"/>
      <c r="X20" s="28"/>
      <c r="Y20" s="28"/>
      <c r="Z20" s="28"/>
    </row>
    <row r="21" spans="1:26" s="12" customFormat="1" ht="15.75">
      <c r="A21" s="85" t="s">
        <v>148</v>
      </c>
      <c r="B21" s="20" t="s">
        <v>30</v>
      </c>
      <c r="C21" s="21" t="s">
        <v>31</v>
      </c>
      <c r="D21" s="103">
        <v>2.63</v>
      </c>
      <c r="E21" s="106">
        <f t="shared" si="1"/>
        <v>117.24</v>
      </c>
      <c r="F21" s="252"/>
      <c r="G21" s="252"/>
      <c r="H21" s="46">
        <f t="shared" si="3"/>
        <v>119.86999999999999</v>
      </c>
      <c r="I21" s="46">
        <f>'B1'!E23+'CÔng Tăng'!E21-'Cộng giảm'!E21</f>
        <v>24.38</v>
      </c>
      <c r="J21" s="46">
        <f>'B1'!F23+'CÔng Tăng'!F21-'Cộng giảm'!F21</f>
        <v>51.11</v>
      </c>
      <c r="K21" s="46">
        <f>'B1'!G23+'CÔng Tăng'!G21-'Cộng giảm'!G21</f>
        <v>26.44</v>
      </c>
      <c r="L21" s="46">
        <f>'B1'!H23+'CÔng Tăng'!H21-'Cộng giảm'!H21</f>
        <v>17.7</v>
      </c>
      <c r="M21" s="46">
        <f>'B1'!I23+'CÔng Tăng'!I21-'Cộng giảm'!I21</f>
        <v>0.08</v>
      </c>
      <c r="N21" s="46">
        <f>'B1'!J23+'CÔng Tăng'!J21-'Cộng giảm'!J21</f>
        <v>0</v>
      </c>
      <c r="O21" s="46">
        <f>'B1'!K23+'CÔng Tăng'!K21-'Cộng giảm'!K21</f>
        <v>0</v>
      </c>
      <c r="P21" s="46">
        <f>'B1'!L23+'CÔng Tăng'!L21-'Cộng giảm'!L21</f>
        <v>0</v>
      </c>
      <c r="Q21" s="46">
        <f>'B1'!M23+'CÔng Tăng'!M21-'Cộng giảm'!M21</f>
        <v>0</v>
      </c>
      <c r="R21" s="46">
        <f>'B1'!N23+'CÔng Tăng'!N21-'Cộng giảm'!N21</f>
        <v>0.16</v>
      </c>
      <c r="S21" s="46">
        <f>'B1'!O23+'CÔng Tăng'!O21-'Cộng giảm'!O21</f>
        <v>0</v>
      </c>
      <c r="T21" s="35"/>
      <c r="U21" s="144"/>
      <c r="V21" s="8"/>
      <c r="W21" s="8"/>
      <c r="X21" s="8"/>
      <c r="Y21" s="8"/>
      <c r="Z21" s="8"/>
    </row>
    <row r="22" spans="1:26" s="12" customFormat="1" ht="15.75">
      <c r="A22" s="85" t="s">
        <v>138</v>
      </c>
      <c r="B22" s="20" t="s">
        <v>32</v>
      </c>
      <c r="C22" s="21" t="s">
        <v>33</v>
      </c>
      <c r="D22" s="103"/>
      <c r="E22" s="106">
        <f t="shared" si="1"/>
        <v>3.4099999999999997</v>
      </c>
      <c r="F22" s="252"/>
      <c r="G22" s="252"/>
      <c r="H22" s="46">
        <f t="shared" si="3"/>
        <v>3.4099999999999997</v>
      </c>
      <c r="I22" s="46">
        <f>'B1'!E24+'CÔng Tăng'!E22-'Cộng giảm'!E22</f>
        <v>3.2699999999999996</v>
      </c>
      <c r="J22" s="46">
        <f>'B1'!F24+'CÔng Tăng'!F22-'Cộng giảm'!F22</f>
        <v>0.06</v>
      </c>
      <c r="K22" s="46">
        <f>'B1'!G24+'CÔng Tăng'!G22-'Cộng giảm'!G22</f>
        <v>0</v>
      </c>
      <c r="L22" s="46">
        <f>'B1'!H24+'CÔng Tăng'!H22-'Cộng giảm'!H22</f>
        <v>0</v>
      </c>
      <c r="M22" s="46">
        <f>'B1'!I24+'CÔng Tăng'!I22-'Cộng giảm'!I22</f>
        <v>0</v>
      </c>
      <c r="N22" s="46">
        <f>'B1'!J24+'CÔng Tăng'!J22-'Cộng giảm'!J22</f>
        <v>0</v>
      </c>
      <c r="O22" s="46">
        <f>'B1'!K24+'CÔng Tăng'!K22-'Cộng giảm'!K22</f>
        <v>0</v>
      </c>
      <c r="P22" s="46">
        <f>'B1'!L24+'CÔng Tăng'!L22-'Cộng giảm'!L22</f>
        <v>0</v>
      </c>
      <c r="Q22" s="46">
        <f>'B1'!M24+'CÔng Tăng'!M22-'Cộng giảm'!M22</f>
        <v>0</v>
      </c>
      <c r="R22" s="46">
        <f>'B1'!N24+'CÔng Tăng'!N22-'Cộng giảm'!N22</f>
        <v>0</v>
      </c>
      <c r="S22" s="46">
        <f>'B1'!O24+'CÔng Tăng'!O22-'Cộng giảm'!O22</f>
        <v>0.08</v>
      </c>
      <c r="T22" s="35"/>
      <c r="U22" s="144"/>
      <c r="V22" s="9"/>
      <c r="W22" s="9"/>
      <c r="X22" s="9"/>
      <c r="Y22" s="9"/>
      <c r="Z22" s="9"/>
    </row>
    <row r="23" spans="1:26" s="12" customFormat="1" ht="15.75">
      <c r="A23" s="85" t="s">
        <v>149</v>
      </c>
      <c r="B23" s="20" t="s">
        <v>34</v>
      </c>
      <c r="C23" s="21" t="s">
        <v>35</v>
      </c>
      <c r="D23" s="103"/>
      <c r="E23" s="106">
        <f t="shared" si="1"/>
        <v>0</v>
      </c>
      <c r="F23" s="252"/>
      <c r="G23" s="252"/>
      <c r="H23" s="46">
        <f t="shared" si="3"/>
        <v>0</v>
      </c>
      <c r="I23" s="46">
        <f>'B1'!E25+'CÔng Tăng'!E23-'Cộng giảm'!E23</f>
        <v>0</v>
      </c>
      <c r="J23" s="46">
        <f>'B1'!F25+'CÔng Tăng'!F23-'Cộng giảm'!F23</f>
        <v>0</v>
      </c>
      <c r="K23" s="46">
        <f>'B1'!G25+'CÔng Tăng'!G23-'Cộng giảm'!G23</f>
        <v>0</v>
      </c>
      <c r="L23" s="46">
        <f>'B1'!H25+'CÔng Tăng'!H23-'Cộng giảm'!H23</f>
        <v>0</v>
      </c>
      <c r="M23" s="46">
        <f>'B1'!I25+'CÔng Tăng'!I23-'Cộng giảm'!I23</f>
        <v>0</v>
      </c>
      <c r="N23" s="46">
        <f>'B1'!J25+'CÔng Tăng'!J23-'Cộng giảm'!J23</f>
        <v>0</v>
      </c>
      <c r="O23" s="46">
        <f>'B1'!K25+'CÔng Tăng'!K23-'Cộng giảm'!K23</f>
        <v>0</v>
      </c>
      <c r="P23" s="46">
        <f>'B1'!L25+'CÔng Tăng'!L23-'Cộng giảm'!L23</f>
        <v>0</v>
      </c>
      <c r="Q23" s="46">
        <f>'B1'!M25+'CÔng Tăng'!M23-'Cộng giảm'!M23</f>
        <v>0</v>
      </c>
      <c r="R23" s="46">
        <f>'B1'!N25+'CÔng Tăng'!N23-'Cộng giảm'!N23</f>
        <v>0</v>
      </c>
      <c r="S23" s="46">
        <f>'B1'!O25+'CÔng Tăng'!O23-'Cộng giảm'!O23</f>
        <v>0</v>
      </c>
      <c r="T23" s="35"/>
      <c r="U23" s="144"/>
      <c r="V23" s="9"/>
      <c r="W23" s="9"/>
      <c r="X23" s="9"/>
      <c r="Y23" s="9"/>
      <c r="Z23" s="9"/>
    </row>
    <row r="24" spans="1:26" s="12" customFormat="1" ht="15.75">
      <c r="A24" s="85" t="s">
        <v>150</v>
      </c>
      <c r="B24" s="20" t="s">
        <v>36</v>
      </c>
      <c r="C24" s="21" t="s">
        <v>37</v>
      </c>
      <c r="D24" s="103">
        <v>25</v>
      </c>
      <c r="E24" s="106">
        <f t="shared" si="1"/>
        <v>0</v>
      </c>
      <c r="F24" s="252"/>
      <c r="G24" s="252"/>
      <c r="H24" s="46">
        <f t="shared" si="3"/>
        <v>25</v>
      </c>
      <c r="I24" s="46">
        <f>'B1'!E26+'CÔng Tăng'!E24-'Cộng giảm'!E24</f>
        <v>25</v>
      </c>
      <c r="J24" s="46">
        <f>'B1'!F26+'CÔng Tăng'!F24-'Cộng giảm'!F24</f>
        <v>0</v>
      </c>
      <c r="K24" s="46">
        <f>'B1'!G26+'CÔng Tăng'!G24-'Cộng giảm'!G24</f>
        <v>0</v>
      </c>
      <c r="L24" s="46">
        <f>'B1'!H26+'CÔng Tăng'!H24-'Cộng giảm'!H24</f>
        <v>0</v>
      </c>
      <c r="M24" s="46">
        <f>'B1'!I26+'CÔng Tăng'!I24-'Cộng giảm'!I24</f>
        <v>0</v>
      </c>
      <c r="N24" s="46">
        <f>'B1'!J26+'CÔng Tăng'!J24-'Cộng giảm'!J24</f>
        <v>0</v>
      </c>
      <c r="O24" s="46">
        <f>'B1'!K26+'CÔng Tăng'!K24-'Cộng giảm'!K24</f>
        <v>0</v>
      </c>
      <c r="P24" s="46">
        <f>'B1'!L26+'CÔng Tăng'!L24-'Cộng giảm'!L24</f>
        <v>0</v>
      </c>
      <c r="Q24" s="46">
        <f>'B1'!M26+'CÔng Tăng'!M24-'Cộng giảm'!M24</f>
        <v>0</v>
      </c>
      <c r="R24" s="46">
        <f>'B1'!N26+'CÔng Tăng'!N24-'Cộng giảm'!N24</f>
        <v>0</v>
      </c>
      <c r="S24" s="46">
        <f>'B1'!O26+'CÔng Tăng'!O24-'Cộng giảm'!O24</f>
        <v>0</v>
      </c>
      <c r="T24" s="35"/>
      <c r="U24" s="144"/>
      <c r="V24" s="8"/>
      <c r="W24" s="8"/>
      <c r="X24" s="8"/>
      <c r="Y24" s="8"/>
      <c r="Z24" s="8"/>
    </row>
    <row r="25" spans="1:26" s="12" customFormat="1" ht="15.75">
      <c r="A25" s="85" t="s">
        <v>151</v>
      </c>
      <c r="B25" s="20" t="s">
        <v>38</v>
      </c>
      <c r="C25" s="21" t="s">
        <v>39</v>
      </c>
      <c r="D25" s="103">
        <v>41.9</v>
      </c>
      <c r="E25" s="106">
        <f t="shared" si="1"/>
        <v>-36.729999999999997</v>
      </c>
      <c r="F25" s="252"/>
      <c r="G25" s="252"/>
      <c r="H25" s="46">
        <f t="shared" si="3"/>
        <v>5.169999999999999</v>
      </c>
      <c r="I25" s="46">
        <f>'B1'!E27+'CÔng Tăng'!E25-'Cộng giảm'!E25</f>
        <v>2.0499999999999998</v>
      </c>
      <c r="J25" s="46">
        <f>'B1'!F27+'CÔng Tăng'!F25-'Cộng giảm'!F25</f>
        <v>0</v>
      </c>
      <c r="K25" s="46">
        <f>'B1'!G27+'CÔng Tăng'!G25-'Cộng giảm'!G25</f>
        <v>0.39</v>
      </c>
      <c r="L25" s="46">
        <f>'B1'!H27+'CÔng Tăng'!H25-'Cộng giảm'!H25</f>
        <v>0.32</v>
      </c>
      <c r="M25" s="46">
        <f>'B1'!I27+'CÔng Tăng'!I25-'Cộng giảm'!I25</f>
        <v>0.31</v>
      </c>
      <c r="N25" s="46">
        <f>'B1'!J27+'CÔng Tăng'!J25-'Cộng giảm'!J25</f>
        <v>0</v>
      </c>
      <c r="O25" s="46">
        <f>'B1'!K27+'CÔng Tăng'!K25-'Cộng giảm'!K25</f>
        <v>0.65999999999999992</v>
      </c>
      <c r="P25" s="46">
        <f>'B1'!L27+'CÔng Tăng'!L25-'Cộng giảm'!L25</f>
        <v>1.34</v>
      </c>
      <c r="Q25" s="46">
        <f>'B1'!M27+'CÔng Tăng'!M25-'Cộng giảm'!M25</f>
        <v>0</v>
      </c>
      <c r="R25" s="46">
        <f>'B1'!N27+'CÔng Tăng'!N25-'Cộng giảm'!N25</f>
        <v>0</v>
      </c>
      <c r="S25" s="46">
        <f>'B1'!O27+'CÔng Tăng'!O25-'Cộng giảm'!O25</f>
        <v>0.1</v>
      </c>
      <c r="T25" s="35"/>
      <c r="U25" s="144"/>
      <c r="V25" s="8"/>
      <c r="W25" s="8"/>
      <c r="X25" s="8"/>
      <c r="Y25" s="8"/>
      <c r="Z25" s="8"/>
    </row>
    <row r="26" spans="1:26" s="12" customFormat="1" ht="15.75">
      <c r="A26" s="85" t="s">
        <v>152</v>
      </c>
      <c r="B26" s="20" t="s">
        <v>40</v>
      </c>
      <c r="C26" s="21" t="s">
        <v>41</v>
      </c>
      <c r="D26" s="103">
        <v>264.85000000000002</v>
      </c>
      <c r="E26" s="106">
        <f t="shared" si="1"/>
        <v>-179.99000000000004</v>
      </c>
      <c r="F26" s="252"/>
      <c r="G26" s="252"/>
      <c r="H26" s="46">
        <f t="shared" si="3"/>
        <v>84.859999999999985</v>
      </c>
      <c r="I26" s="46">
        <f>'B1'!E28+'CÔng Tăng'!E26-'Cộng giảm'!E26</f>
        <v>0</v>
      </c>
      <c r="J26" s="46">
        <f>'B1'!F28+'CÔng Tăng'!F26-'Cộng giảm'!F26</f>
        <v>2.99</v>
      </c>
      <c r="K26" s="46">
        <f>'B1'!G28+'CÔng Tăng'!G26-'Cộng giảm'!G26</f>
        <v>7.77</v>
      </c>
      <c r="L26" s="46">
        <f>'B1'!H28+'CÔng Tăng'!H26-'Cộng giảm'!H26</f>
        <v>1.31</v>
      </c>
      <c r="M26" s="46">
        <f>'B1'!I28+'CÔng Tăng'!I26-'Cộng giảm'!I26</f>
        <v>32.769999999999996</v>
      </c>
      <c r="N26" s="46">
        <f>'B1'!J28+'CÔng Tăng'!J26-'Cộng giảm'!J26</f>
        <v>0.41</v>
      </c>
      <c r="O26" s="46">
        <f>'B1'!K28+'CÔng Tăng'!K26-'Cộng giảm'!K26</f>
        <v>18.79</v>
      </c>
      <c r="P26" s="46">
        <f>'B1'!L28+'CÔng Tăng'!L26-'Cộng giảm'!L26</f>
        <v>0.32</v>
      </c>
      <c r="Q26" s="46">
        <f>'B1'!M28+'CÔng Tăng'!M26-'Cộng giảm'!M26</f>
        <v>0.5</v>
      </c>
      <c r="R26" s="46">
        <f>'B1'!N28+'CÔng Tăng'!N26-'Cộng giảm'!N26</f>
        <v>20</v>
      </c>
      <c r="S26" s="46">
        <f>'B1'!O28+'CÔng Tăng'!O26-'Cộng giảm'!O26</f>
        <v>0</v>
      </c>
      <c r="T26" s="35"/>
      <c r="U26" s="144"/>
      <c r="V26" s="8"/>
      <c r="W26" s="8"/>
      <c r="X26" s="8"/>
      <c r="Y26" s="8"/>
      <c r="Z26" s="8"/>
    </row>
    <row r="27" spans="1:26" s="5" customFormat="1" ht="15.75">
      <c r="A27" s="85" t="s">
        <v>153</v>
      </c>
      <c r="B27" s="20" t="s">
        <v>42</v>
      </c>
      <c r="C27" s="21" t="s">
        <v>43</v>
      </c>
      <c r="D27" s="103">
        <v>27.7</v>
      </c>
      <c r="E27" s="106">
        <f t="shared" si="1"/>
        <v>-23.04</v>
      </c>
      <c r="F27" s="252"/>
      <c r="G27" s="252"/>
      <c r="H27" s="46">
        <f t="shared" si="3"/>
        <v>4.66</v>
      </c>
      <c r="I27" s="46">
        <f>'B1'!E29+'CÔng Tăng'!E27-'Cộng giảm'!E27</f>
        <v>0</v>
      </c>
      <c r="J27" s="46">
        <f>'B1'!F29+'CÔng Tăng'!F27-'Cộng giảm'!F27</f>
        <v>0</v>
      </c>
      <c r="K27" s="46">
        <f>'B1'!G29+'CÔng Tăng'!G27-'Cộng giảm'!G27</f>
        <v>0</v>
      </c>
      <c r="L27" s="46">
        <f>'B1'!H29+'CÔng Tăng'!H27-'Cộng giảm'!H27</f>
        <v>0</v>
      </c>
      <c r="M27" s="46">
        <f>'B1'!I29+'CÔng Tăng'!I27-'Cộng giảm'!I27</f>
        <v>0</v>
      </c>
      <c r="N27" s="46">
        <f>'B1'!J29+'CÔng Tăng'!J27-'Cộng giảm'!J27</f>
        <v>0</v>
      </c>
      <c r="O27" s="46">
        <f>'B1'!K29+'CÔng Tăng'!K27-'Cộng giảm'!K27</f>
        <v>4.66</v>
      </c>
      <c r="P27" s="46">
        <f>'B1'!L29+'CÔng Tăng'!L27-'Cộng giảm'!L27</f>
        <v>0</v>
      </c>
      <c r="Q27" s="46">
        <f>'B1'!M29+'CÔng Tăng'!M27-'Cộng giảm'!M27</f>
        <v>0</v>
      </c>
      <c r="R27" s="46">
        <f>'B1'!N29+'CÔng Tăng'!N27-'Cộng giảm'!N27</f>
        <v>0</v>
      </c>
      <c r="S27" s="46">
        <f>'B1'!O29+'CÔng Tăng'!O27-'Cộng giảm'!O27</f>
        <v>0</v>
      </c>
      <c r="T27" s="35"/>
      <c r="U27" s="144"/>
    </row>
    <row r="28" spans="1:26" s="11" customFormat="1" ht="18.75" customHeight="1">
      <c r="A28" s="85" t="s">
        <v>154</v>
      </c>
      <c r="B28" s="20" t="s">
        <v>179</v>
      </c>
      <c r="C28" s="21" t="s">
        <v>66</v>
      </c>
      <c r="D28" s="103">
        <v>6426.77</v>
      </c>
      <c r="E28" s="106">
        <f t="shared" si="1"/>
        <v>-6395.13</v>
      </c>
      <c r="F28" s="252"/>
      <c r="G28" s="252"/>
      <c r="H28" s="46">
        <f t="shared" si="3"/>
        <v>31.64</v>
      </c>
      <c r="I28" s="46">
        <f>'B1'!E30+'CÔng Tăng'!E28-'Cộng giảm'!E28</f>
        <v>0</v>
      </c>
      <c r="J28" s="46">
        <f>'B1'!F30+'CÔng Tăng'!F28-'Cộng giảm'!F28</f>
        <v>0</v>
      </c>
      <c r="K28" s="46">
        <f>'B1'!G30+'CÔng Tăng'!G28-'Cộng giảm'!G28</f>
        <v>5.08</v>
      </c>
      <c r="L28" s="46">
        <f>'B1'!H30+'CÔng Tăng'!H28-'Cộng giảm'!H28</f>
        <v>0</v>
      </c>
      <c r="M28" s="46">
        <f>'B1'!I30+'CÔng Tăng'!I28-'Cộng giảm'!I28</f>
        <v>11.09</v>
      </c>
      <c r="N28" s="46">
        <f>'B1'!J30+'CÔng Tăng'!J28-'Cộng giảm'!J28</f>
        <v>5.04</v>
      </c>
      <c r="O28" s="46">
        <f>'B1'!K30+'CÔng Tăng'!K28-'Cộng giảm'!K28</f>
        <v>0</v>
      </c>
      <c r="P28" s="46">
        <f>'B1'!L30+'CÔng Tăng'!L28-'Cộng giảm'!L28</f>
        <v>8.9</v>
      </c>
      <c r="Q28" s="46">
        <f>'B1'!M30+'CÔng Tăng'!M28-'Cộng giảm'!M28</f>
        <v>0.1</v>
      </c>
      <c r="R28" s="46">
        <f>'B1'!N30+'CÔng Tăng'!N28-'Cộng giảm'!N28</f>
        <v>0</v>
      </c>
      <c r="S28" s="46">
        <f>'B1'!O30+'CÔng Tăng'!O28-'Cộng giảm'!O28</f>
        <v>1.43</v>
      </c>
      <c r="T28" s="35"/>
      <c r="U28" s="144"/>
    </row>
    <row r="29" spans="1:26" s="115" customFormat="1" ht="30">
      <c r="A29" s="82" t="s">
        <v>155</v>
      </c>
      <c r="B29" s="72" t="s">
        <v>180</v>
      </c>
      <c r="C29" s="71" t="s">
        <v>45</v>
      </c>
      <c r="D29" s="260">
        <f t="shared" ref="D29:D39" si="4">SUM(E29:Q29)</f>
        <v>11230.090000000002</v>
      </c>
      <c r="E29" s="88">
        <v>5.85</v>
      </c>
      <c r="F29" s="261"/>
      <c r="G29" s="261"/>
      <c r="H29" s="46">
        <f t="shared" si="3"/>
        <v>6385.2900000000009</v>
      </c>
      <c r="I29" s="46">
        <f>'B1'!E31+'CÔng Tăng'!E29-'Cộng giảm'!E29</f>
        <v>179.98000000000002</v>
      </c>
      <c r="J29" s="46">
        <f>'B1'!F31+'CÔng Tăng'!F29-'Cộng giảm'!F29</f>
        <v>1202.9100000000003</v>
      </c>
      <c r="K29" s="46">
        <f>'B1'!G31+'CÔng Tăng'!G29-'Cộng giảm'!G29</f>
        <v>445.67</v>
      </c>
      <c r="L29" s="46">
        <f>'B1'!H31+'CÔng Tăng'!H29-'Cộng giảm'!H29</f>
        <v>285.88</v>
      </c>
      <c r="M29" s="46">
        <f>'B1'!I31+'CÔng Tăng'!I29-'Cộng giảm'!I29</f>
        <v>641.62000000000012</v>
      </c>
      <c r="N29" s="46">
        <f>'B1'!J31+'CÔng Tăng'!J29-'Cộng giảm'!J29</f>
        <v>627.29000000000008</v>
      </c>
      <c r="O29" s="46">
        <f>'B1'!K31+'CÔng Tăng'!K29-'Cộng giảm'!K29</f>
        <v>124.5</v>
      </c>
      <c r="P29" s="46">
        <f>'B1'!L31+'CÔng Tăng'!L29-'Cộng giảm'!L29</f>
        <v>110.52000000000001</v>
      </c>
      <c r="Q29" s="46">
        <f>'B1'!M31+'CÔng Tăng'!M29-'Cộng giảm'!M29</f>
        <v>1220.58</v>
      </c>
      <c r="R29" s="46">
        <f>'B1'!N31+'CÔng Tăng'!N29-'Cộng giảm'!N29</f>
        <v>1332.84</v>
      </c>
      <c r="S29" s="46">
        <f>'B1'!O31+'CÔng Tăng'!O29-'Cộng giảm'!O29</f>
        <v>213.50000000000003</v>
      </c>
      <c r="U29" s="144"/>
    </row>
    <row r="30" spans="1:26" s="110" customFormat="1" ht="15.75">
      <c r="A30" s="107"/>
      <c r="B30" s="75" t="s">
        <v>228</v>
      </c>
      <c r="C30" s="111" t="s">
        <v>196</v>
      </c>
      <c r="D30" s="108">
        <f t="shared" si="4"/>
        <v>2430.2700000000004</v>
      </c>
      <c r="E30" s="108">
        <v>1.93</v>
      </c>
      <c r="F30" s="254"/>
      <c r="G30" s="254"/>
      <c r="H30" s="430">
        <f t="shared" si="3"/>
        <v>1319.0300000000002</v>
      </c>
      <c r="I30" s="430">
        <f>'B1'!E32+'CÔng Tăng'!E30-'Cộng giảm'!E30</f>
        <v>121.43</v>
      </c>
      <c r="J30" s="430">
        <f>'B1'!F32+'CÔng Tăng'!F30-'Cộng giảm'!F30</f>
        <v>118.04</v>
      </c>
      <c r="K30" s="430">
        <f>'B1'!G32+'CÔng Tăng'!G30-'Cộng giảm'!G30</f>
        <v>412.32</v>
      </c>
      <c r="L30" s="430">
        <f>'B1'!H32+'CÔng Tăng'!H30-'Cộng giảm'!H30</f>
        <v>186.38</v>
      </c>
      <c r="M30" s="430">
        <f>'B1'!I32+'CÔng Tăng'!I30-'Cộng giảm'!I30</f>
        <v>63.06</v>
      </c>
      <c r="N30" s="430">
        <f>'B1'!J32+'CÔng Tăng'!J30-'Cộng giảm'!J30</f>
        <v>53.3</v>
      </c>
      <c r="O30" s="430">
        <f>'B1'!K32+'CÔng Tăng'!K30-'Cộng giảm'!K30</f>
        <v>41.83</v>
      </c>
      <c r="P30" s="430">
        <f>'B1'!L32+'CÔng Tăng'!L30-'Cộng giảm'!L30</f>
        <v>75.069999999999993</v>
      </c>
      <c r="Q30" s="430">
        <f>'B1'!M32+'CÔng Tăng'!M30-'Cộng giảm'!M30</f>
        <v>37.880000000000003</v>
      </c>
      <c r="R30" s="430">
        <f>'B1'!N32+'CÔng Tăng'!N30-'Cộng giảm'!N30</f>
        <v>132.45999999999998</v>
      </c>
      <c r="S30" s="430">
        <f>'B1'!O32+'CÔng Tăng'!O30-'Cộng giảm'!O30</f>
        <v>77.260000000000005</v>
      </c>
      <c r="U30" s="255"/>
    </row>
    <row r="31" spans="1:26" s="110" customFormat="1" ht="13.5" customHeight="1">
      <c r="A31" s="107"/>
      <c r="B31" s="75" t="s">
        <v>229</v>
      </c>
      <c r="C31" s="74" t="s">
        <v>194</v>
      </c>
      <c r="D31" s="108">
        <f t="shared" si="4"/>
        <v>333.34999999999997</v>
      </c>
      <c r="E31" s="108">
        <f>17.21+0.6</f>
        <v>17.810000000000002</v>
      </c>
      <c r="F31" s="254"/>
      <c r="G31" s="254"/>
      <c r="H31" s="430">
        <f t="shared" si="3"/>
        <v>162.96999999999997</v>
      </c>
      <c r="I31" s="430">
        <f>'B1'!E33+'CÔng Tăng'!E31-'Cộng giảm'!E31</f>
        <v>11.07</v>
      </c>
      <c r="J31" s="430">
        <f>'B1'!F33+'CÔng Tăng'!F31-'Cộng giảm'!F31</f>
        <v>1.68</v>
      </c>
      <c r="K31" s="430">
        <f>'B1'!G33+'CÔng Tăng'!G31-'Cộng giảm'!G31</f>
        <v>7.45</v>
      </c>
      <c r="L31" s="430">
        <f>'B1'!H33+'CÔng Tăng'!H31-'Cộng giảm'!H31</f>
        <v>33.409999999999997</v>
      </c>
      <c r="M31" s="430">
        <f>'B1'!I33+'CÔng Tăng'!I31-'Cộng giảm'!I31</f>
        <v>36.11</v>
      </c>
      <c r="N31" s="430">
        <f>'B1'!J33+'CÔng Tăng'!J31-'Cộng giảm'!J31</f>
        <v>17.100000000000001</v>
      </c>
      <c r="O31" s="430">
        <f>'B1'!K33+'CÔng Tăng'!K31-'Cộng giảm'!K31</f>
        <v>27.54</v>
      </c>
      <c r="P31" s="430">
        <f>'B1'!L33+'CÔng Tăng'!L31-'Cộng giảm'!L31</f>
        <v>3.51</v>
      </c>
      <c r="Q31" s="430">
        <f>'B1'!M33+'CÔng Tăng'!M31-'Cộng giảm'!M31</f>
        <v>14.7</v>
      </c>
      <c r="R31" s="430">
        <f>'B1'!N33+'CÔng Tăng'!N31-'Cộng giảm'!N31</f>
        <v>2.4</v>
      </c>
      <c r="S31" s="430">
        <f>'B1'!O33+'CÔng Tăng'!O31-'Cộng giảm'!O31</f>
        <v>8</v>
      </c>
      <c r="U31" s="255"/>
    </row>
    <row r="32" spans="1:26" s="110" customFormat="1" ht="15.75">
      <c r="A32" s="107"/>
      <c r="B32" s="75" t="s">
        <v>222</v>
      </c>
      <c r="C32" s="74" t="s">
        <v>232</v>
      </c>
      <c r="D32" s="108">
        <f t="shared" si="4"/>
        <v>16.329999999999998</v>
      </c>
      <c r="E32" s="108">
        <v>4.08</v>
      </c>
      <c r="F32" s="254"/>
      <c r="G32" s="254"/>
      <c r="H32" s="430">
        <f t="shared" si="3"/>
        <v>6.2299999999999995</v>
      </c>
      <c r="I32" s="430">
        <f>'B1'!E34+'CÔng Tăng'!E32-'Cộng giảm'!E32</f>
        <v>5.85</v>
      </c>
      <c r="J32" s="430">
        <f>'B1'!F34+'CÔng Tăng'!F32-'Cộng giảm'!F32</f>
        <v>0</v>
      </c>
      <c r="K32" s="430">
        <f>'B1'!G34+'CÔng Tăng'!G32-'Cộng giảm'!G32</f>
        <v>0</v>
      </c>
      <c r="L32" s="430">
        <f>'B1'!H34+'CÔng Tăng'!H32-'Cộng giảm'!H32</f>
        <v>0</v>
      </c>
      <c r="M32" s="430">
        <f>'B1'!I34+'CÔng Tăng'!I32-'Cộng giảm'!I32</f>
        <v>0</v>
      </c>
      <c r="N32" s="430">
        <f>'B1'!J34+'CÔng Tăng'!J32-'Cộng giảm'!J32</f>
        <v>0</v>
      </c>
      <c r="O32" s="430">
        <f>'B1'!K34+'CÔng Tăng'!K32-'Cộng giảm'!K32</f>
        <v>0.12</v>
      </c>
      <c r="P32" s="430">
        <f>'B1'!L34+'CÔng Tăng'!L32-'Cộng giảm'!L32</f>
        <v>0</v>
      </c>
      <c r="Q32" s="430">
        <f>'B1'!M34+'CÔng Tăng'!M32-'Cộng giảm'!M32</f>
        <v>0.05</v>
      </c>
      <c r="R32" s="430">
        <f>'B1'!N34+'CÔng Tăng'!N32-'Cộng giảm'!N32</f>
        <v>0</v>
      </c>
      <c r="S32" s="430">
        <f>'B1'!O34+'CÔng Tăng'!O32-'Cộng giảm'!O32</f>
        <v>0.21</v>
      </c>
      <c r="U32" s="255"/>
    </row>
    <row r="33" spans="1:21" s="110" customFormat="1" ht="14.25" customHeight="1">
      <c r="A33" s="107"/>
      <c r="B33" s="75" t="s">
        <v>223</v>
      </c>
      <c r="C33" s="74" t="s">
        <v>233</v>
      </c>
      <c r="D33" s="108">
        <f t="shared" si="4"/>
        <v>9.1300000000000008</v>
      </c>
      <c r="E33" s="108" t="s">
        <v>221</v>
      </c>
      <c r="F33" s="254"/>
      <c r="G33" s="254"/>
      <c r="H33" s="430">
        <f t="shared" si="3"/>
        <v>4.96</v>
      </c>
      <c r="I33" s="430">
        <f>'B1'!E35+'CÔng Tăng'!E33-'Cộng giảm'!E33</f>
        <v>1.93</v>
      </c>
      <c r="J33" s="430">
        <f>'B1'!F35+'CÔng Tăng'!F33-'Cộng giảm'!F33</f>
        <v>0.21</v>
      </c>
      <c r="K33" s="430">
        <f>'B1'!G35+'CÔng Tăng'!G33-'Cộng giảm'!G33</f>
        <v>1</v>
      </c>
      <c r="L33" s="430">
        <f>'B1'!H35+'CÔng Tăng'!H33-'Cộng giảm'!H33</f>
        <v>0.22</v>
      </c>
      <c r="M33" s="430">
        <f>'B1'!I35+'CÔng Tăng'!I33-'Cộng giảm'!I33</f>
        <v>0.17</v>
      </c>
      <c r="N33" s="430">
        <f>'B1'!J35+'CÔng Tăng'!J33-'Cộng giảm'!J33</f>
        <v>0.15</v>
      </c>
      <c r="O33" s="430">
        <f>'B1'!K35+'CÔng Tăng'!K33-'Cộng giảm'!K33</f>
        <v>0.16</v>
      </c>
      <c r="P33" s="430">
        <f>'B1'!L35+'CÔng Tăng'!L33-'Cộng giảm'!L33</f>
        <v>0.15</v>
      </c>
      <c r="Q33" s="430">
        <f>'B1'!M35+'CÔng Tăng'!M33-'Cộng giảm'!M33</f>
        <v>0.18</v>
      </c>
      <c r="R33" s="430">
        <f>'B1'!N35+'CÔng Tăng'!N33-'Cộng giảm'!N33</f>
        <v>0.45</v>
      </c>
      <c r="S33" s="430">
        <f>'B1'!O35+'CÔng Tăng'!O33-'Cộng giảm'!O33</f>
        <v>0.34</v>
      </c>
      <c r="U33" s="255"/>
    </row>
    <row r="34" spans="1:21" s="110" customFormat="1" ht="31.5">
      <c r="A34" s="107"/>
      <c r="B34" s="75" t="s">
        <v>224</v>
      </c>
      <c r="C34" s="74" t="s">
        <v>192</v>
      </c>
      <c r="D34" s="108">
        <f t="shared" si="4"/>
        <v>117.55999999999999</v>
      </c>
      <c r="E34" s="108">
        <v>0.66</v>
      </c>
      <c r="F34" s="254"/>
      <c r="G34" s="254"/>
      <c r="H34" s="430">
        <f t="shared" si="3"/>
        <v>62.94</v>
      </c>
      <c r="I34" s="430">
        <f>'B1'!E36+'CÔng Tăng'!E34-'Cộng giảm'!E34</f>
        <v>18.170000000000002</v>
      </c>
      <c r="J34" s="430">
        <f>'B1'!F36+'CÔng Tăng'!F34-'Cộng giảm'!F34</f>
        <v>6.2700000000000005</v>
      </c>
      <c r="K34" s="430">
        <f>'B1'!G36+'CÔng Tăng'!G34-'Cộng giảm'!G34</f>
        <v>6.23</v>
      </c>
      <c r="L34" s="430">
        <f>'B1'!H36+'CÔng Tăng'!H34-'Cộng giảm'!H34</f>
        <v>3.23</v>
      </c>
      <c r="M34" s="430">
        <f>'B1'!I36+'CÔng Tăng'!I34-'Cộng giảm'!I34</f>
        <v>5.6</v>
      </c>
      <c r="N34" s="430">
        <f>'B1'!J36+'CÔng Tăng'!J34-'Cộng giảm'!J34</f>
        <v>2.46</v>
      </c>
      <c r="O34" s="430">
        <f>'B1'!K36+'CÔng Tăng'!K34-'Cộng giảm'!K34</f>
        <v>4.8499999999999996</v>
      </c>
      <c r="P34" s="430">
        <f>'B1'!L36+'CÔng Tăng'!L34-'Cộng giảm'!L34</f>
        <v>4.26</v>
      </c>
      <c r="Q34" s="430">
        <f>'B1'!M36+'CÔng Tăng'!M34-'Cộng giảm'!M34</f>
        <v>2.89</v>
      </c>
      <c r="R34" s="430">
        <f>'B1'!N36+'CÔng Tăng'!N34-'Cộng giảm'!N34</f>
        <v>4.05</v>
      </c>
      <c r="S34" s="430">
        <f>'B1'!O36+'CÔng Tăng'!O34-'Cộng giảm'!O34</f>
        <v>4.93</v>
      </c>
      <c r="U34" s="255"/>
    </row>
    <row r="35" spans="1:21" s="110" customFormat="1" ht="15.75">
      <c r="A35" s="107"/>
      <c r="B35" s="75" t="s">
        <v>225</v>
      </c>
      <c r="C35" s="74" t="s">
        <v>195</v>
      </c>
      <c r="D35" s="112">
        <f t="shared" si="4"/>
        <v>103.27999999999999</v>
      </c>
      <c r="E35" s="108">
        <f>71.92+0.11</f>
        <v>72.03</v>
      </c>
      <c r="F35" s="254"/>
      <c r="G35" s="254"/>
      <c r="H35" s="430">
        <f t="shared" si="3"/>
        <v>16.690000000000001</v>
      </c>
      <c r="I35" s="430">
        <f>'B1'!E37+'CÔng Tăng'!E35-'Cộng giảm'!E35</f>
        <v>4.0999999999999996</v>
      </c>
      <c r="J35" s="430">
        <f>'B1'!F37+'CÔng Tăng'!F35-'Cộng giảm'!F35</f>
        <v>2.41</v>
      </c>
      <c r="K35" s="430">
        <f>'B1'!G37+'CÔng Tăng'!G35-'Cộng giảm'!G35</f>
        <v>1.63</v>
      </c>
      <c r="L35" s="430">
        <f>'B1'!H37+'CÔng Tăng'!H35-'Cộng giảm'!H35</f>
        <v>0.28000000000000003</v>
      </c>
      <c r="M35" s="430">
        <f>'B1'!I37+'CÔng Tăng'!I35-'Cộng giảm'!I35</f>
        <v>1.23</v>
      </c>
      <c r="N35" s="430">
        <f>'B1'!J37+'CÔng Tăng'!J35-'Cộng giảm'!J35</f>
        <v>2.91</v>
      </c>
      <c r="O35" s="430">
        <f>'B1'!K37+'CÔng Tăng'!K35-'Cộng giảm'!K35</f>
        <v>1.32</v>
      </c>
      <c r="P35" s="430">
        <f>'B1'!L37+'CÔng Tăng'!L35-'Cộng giảm'!L35</f>
        <v>0.68</v>
      </c>
      <c r="Q35" s="430">
        <f>'B1'!M37+'CÔng Tăng'!M35-'Cộng giảm'!M35</f>
        <v>0</v>
      </c>
      <c r="R35" s="430">
        <f>'B1'!N37+'CÔng Tăng'!N35-'Cộng giảm'!N35</f>
        <v>0</v>
      </c>
      <c r="S35" s="430">
        <f>'B1'!O37+'CÔng Tăng'!O35-'Cộng giảm'!O35</f>
        <v>2.13</v>
      </c>
      <c r="U35" s="255"/>
    </row>
    <row r="36" spans="1:21" s="110" customFormat="1" ht="15.75">
      <c r="A36" s="107"/>
      <c r="B36" s="75" t="s">
        <v>282</v>
      </c>
      <c r="C36" s="74" t="s">
        <v>193</v>
      </c>
      <c r="D36" s="108">
        <f t="shared" si="4"/>
        <v>8035.8099999999995</v>
      </c>
      <c r="E36" s="108">
        <f>3.57+1</f>
        <v>4.57</v>
      </c>
      <c r="F36" s="254"/>
      <c r="G36" s="254"/>
      <c r="H36" s="430">
        <f t="shared" si="3"/>
        <v>4656.55</v>
      </c>
      <c r="I36" s="430">
        <f>'B1'!E38+'CÔng Tăng'!E36-'Cộng giảm'!E36</f>
        <v>4.8899999999999997</v>
      </c>
      <c r="J36" s="430">
        <f>'B1'!F38+'CÔng Tăng'!F36-'Cộng giảm'!F36</f>
        <v>1064.98</v>
      </c>
      <c r="K36" s="430">
        <f>'B1'!G38+'CÔng Tăng'!G36-'Cộng giảm'!G36</f>
        <v>1.31</v>
      </c>
      <c r="L36" s="430">
        <f>'B1'!H38+'CÔng Tăng'!H36-'Cộng giảm'!H36</f>
        <v>51.5</v>
      </c>
      <c r="M36" s="430">
        <f>'B1'!I38+'CÔng Tăng'!I36-'Cộng giảm'!I36</f>
        <v>507.74</v>
      </c>
      <c r="N36" s="430">
        <f>'B1'!J38+'CÔng Tăng'!J36-'Cộng giảm'!J36</f>
        <v>545.96</v>
      </c>
      <c r="O36" s="430">
        <f>'B1'!K38+'CÔng Tăng'!K36-'Cộng giảm'!K36</f>
        <v>36.46</v>
      </c>
      <c r="P36" s="430">
        <f>'B1'!L38+'CÔng Tăng'!L36-'Cộng giảm'!L36</f>
        <v>0</v>
      </c>
      <c r="Q36" s="430">
        <f>'B1'!M38+'CÔng Tăng'!M36-'Cộng giảm'!M36</f>
        <v>1161.8499999999999</v>
      </c>
      <c r="R36" s="430">
        <f>'B1'!N38+'CÔng Tăng'!N36-'Cộng giảm'!N36</f>
        <v>1171.73</v>
      </c>
      <c r="S36" s="430">
        <f>'B1'!O38+'CÔng Tăng'!O36-'Cộng giảm'!O36</f>
        <v>110.13000000000001</v>
      </c>
      <c r="U36" s="255"/>
    </row>
    <row r="37" spans="1:21" s="110" customFormat="1" ht="15.75">
      <c r="A37" s="107"/>
      <c r="B37" s="75" t="s">
        <v>230</v>
      </c>
      <c r="C37" s="74" t="s">
        <v>236</v>
      </c>
      <c r="D37" s="108">
        <f t="shared" si="4"/>
        <v>2.2800000000000002</v>
      </c>
      <c r="E37" s="108">
        <v>0.28999999999999998</v>
      </c>
      <c r="F37" s="254"/>
      <c r="G37" s="254"/>
      <c r="H37" s="430">
        <f t="shared" si="3"/>
        <v>1.02</v>
      </c>
      <c r="I37" s="430">
        <f>'B1'!E39+'CÔng Tăng'!E37-'Cộng giảm'!E37</f>
        <v>0.3</v>
      </c>
      <c r="J37" s="430">
        <f>'B1'!F39+'CÔng Tăng'!F37-'Cộng giảm'!F37</f>
        <v>0.3</v>
      </c>
      <c r="K37" s="430">
        <f>'B1'!G39+'CÔng Tăng'!G37-'Cộng giảm'!G37</f>
        <v>0.04</v>
      </c>
      <c r="L37" s="430">
        <f>'B1'!H39+'CÔng Tăng'!H37-'Cộng giảm'!H37</f>
        <v>0</v>
      </c>
      <c r="M37" s="430">
        <f>'B1'!I39+'CÔng Tăng'!I37-'Cộng giảm'!I37</f>
        <v>0.02</v>
      </c>
      <c r="N37" s="430">
        <f>'B1'!J39+'CÔng Tăng'!J37-'Cộng giảm'!J37</f>
        <v>0.22</v>
      </c>
      <c r="O37" s="430">
        <f>'B1'!K39+'CÔng Tăng'!K37-'Cộng giảm'!K37</f>
        <v>0.04</v>
      </c>
      <c r="P37" s="430">
        <f>'B1'!L39+'CÔng Tăng'!L37-'Cộng giảm'!L37</f>
        <v>0.05</v>
      </c>
      <c r="Q37" s="430">
        <f>'B1'!M39+'CÔng Tăng'!M37-'Cộng giảm'!M37</f>
        <v>0</v>
      </c>
      <c r="R37" s="430">
        <f>'B1'!N39+'CÔng Tăng'!N37-'Cộng giảm'!N37</f>
        <v>0.03</v>
      </c>
      <c r="S37" s="430">
        <f>'B1'!O39+'CÔng Tăng'!O37-'Cộng giảm'!O37</f>
        <v>0.02</v>
      </c>
      <c r="U37" s="255"/>
    </row>
    <row r="38" spans="1:21" s="110" customFormat="1" ht="15" customHeight="1">
      <c r="A38" s="107"/>
      <c r="B38" s="75" t="s">
        <v>278</v>
      </c>
      <c r="C38" s="74" t="s">
        <v>279</v>
      </c>
      <c r="D38" s="108">
        <f t="shared" si="4"/>
        <v>0.31</v>
      </c>
      <c r="E38" s="108">
        <v>0.31</v>
      </c>
      <c r="F38" s="254"/>
      <c r="G38" s="254"/>
      <c r="H38" s="430">
        <f t="shared" si="3"/>
        <v>0</v>
      </c>
      <c r="I38" s="430">
        <f>'B1'!E40+'CÔng Tăng'!E38-'Cộng giảm'!E38</f>
        <v>0</v>
      </c>
      <c r="J38" s="430">
        <f>'B1'!F40+'CÔng Tăng'!F38-'Cộng giảm'!F38</f>
        <v>0</v>
      </c>
      <c r="K38" s="430">
        <f>'B1'!G40+'CÔng Tăng'!G38-'Cộng giảm'!G38</f>
        <v>0</v>
      </c>
      <c r="L38" s="430">
        <f>'B1'!H40+'CÔng Tăng'!H38-'Cộng giảm'!H38</f>
        <v>0</v>
      </c>
      <c r="M38" s="430">
        <f>'B1'!I40+'CÔng Tăng'!I38-'Cộng giảm'!I38</f>
        <v>0</v>
      </c>
      <c r="N38" s="430">
        <f>'B1'!J40+'CÔng Tăng'!J38-'Cộng giảm'!J38</f>
        <v>0</v>
      </c>
      <c r="O38" s="430">
        <f>'B1'!K40+'CÔng Tăng'!K38-'Cộng giảm'!K38</f>
        <v>0</v>
      </c>
      <c r="P38" s="430">
        <f>'B1'!L40+'CÔng Tăng'!L38-'Cộng giảm'!L38</f>
        <v>0</v>
      </c>
      <c r="Q38" s="430">
        <f>'B1'!M40+'CÔng Tăng'!M38-'Cộng giảm'!M38</f>
        <v>0</v>
      </c>
      <c r="R38" s="430">
        <f>'B1'!N40+'CÔng Tăng'!N38-'Cộng giảm'!N38</f>
        <v>0</v>
      </c>
      <c r="S38" s="430">
        <f>'B1'!O40+'CÔng Tăng'!O38-'Cộng giảm'!O38</f>
        <v>0</v>
      </c>
      <c r="U38" s="255"/>
    </row>
    <row r="39" spans="1:21" s="110" customFormat="1" ht="15.75" customHeight="1">
      <c r="A39" s="107"/>
      <c r="B39" s="75" t="s">
        <v>46</v>
      </c>
      <c r="C39" s="74" t="s">
        <v>47</v>
      </c>
      <c r="D39" s="108">
        <f t="shared" si="4"/>
        <v>5.8599999999999994</v>
      </c>
      <c r="E39" s="108">
        <v>1.48</v>
      </c>
      <c r="F39" s="254"/>
      <c r="G39" s="254"/>
      <c r="H39" s="430">
        <f t="shared" si="3"/>
        <v>3.86</v>
      </c>
      <c r="I39" s="430">
        <f>'B1'!E41+'CÔng Tăng'!E39-'Cộng giảm'!E39</f>
        <v>0</v>
      </c>
      <c r="J39" s="430">
        <f>'B1'!F41+'CÔng Tăng'!F39-'Cộng giảm'!F39</f>
        <v>0.01</v>
      </c>
      <c r="K39" s="430">
        <f>'B1'!G41+'CÔng Tăng'!G39-'Cộng giảm'!G39</f>
        <v>0.22</v>
      </c>
      <c r="L39" s="430">
        <f>'B1'!H41+'CÔng Tăng'!H39-'Cộng giảm'!H39</f>
        <v>0.28999999999999998</v>
      </c>
      <c r="M39" s="430">
        <f>'B1'!I41+'CÔng Tăng'!I39-'Cộng giảm'!I39</f>
        <v>0</v>
      </c>
      <c r="N39" s="430">
        <f>'B1'!J41+'CÔng Tăng'!J39-'Cộng giảm'!J39</f>
        <v>0</v>
      </c>
      <c r="O39" s="430">
        <f>'B1'!K41+'CÔng Tăng'!K39-'Cộng giảm'!K39</f>
        <v>0</v>
      </c>
      <c r="P39" s="430">
        <f>'B1'!L41+'CÔng Tăng'!L39-'Cộng giảm'!L39</f>
        <v>0</v>
      </c>
      <c r="Q39" s="430">
        <f>'B1'!M41+'CÔng Tăng'!M39-'Cộng giảm'!M39</f>
        <v>0</v>
      </c>
      <c r="R39" s="430">
        <f>'B1'!N41+'CÔng Tăng'!N39-'Cộng giảm'!N39</f>
        <v>0</v>
      </c>
      <c r="S39" s="430">
        <f>'B1'!O41+'CÔng Tăng'!O39-'Cộng giảm'!O39</f>
        <v>3.34</v>
      </c>
      <c r="U39" s="255"/>
    </row>
    <row r="40" spans="1:21" s="119" customFormat="1" ht="15.75">
      <c r="A40" s="116"/>
      <c r="B40" s="22" t="s">
        <v>50</v>
      </c>
      <c r="C40" s="23" t="s">
        <v>51</v>
      </c>
      <c r="D40" s="104">
        <v>20.9</v>
      </c>
      <c r="E40" s="117">
        <f t="shared" ref="E40:E57" si="5">H40-D40</f>
        <v>0.25</v>
      </c>
      <c r="F40" s="253"/>
      <c r="G40" s="253"/>
      <c r="H40" s="430">
        <f t="shared" si="3"/>
        <v>21.15</v>
      </c>
      <c r="I40" s="430">
        <f>'B1'!E42+'CÔng Tăng'!E40-'Cộng giảm'!E40</f>
        <v>0.93</v>
      </c>
      <c r="J40" s="430">
        <f>'B1'!F42+'CÔng Tăng'!F40-'Cộng giảm'!F40</f>
        <v>0</v>
      </c>
      <c r="K40" s="430">
        <f>'B1'!G42+'CÔng Tăng'!G40-'Cộng giảm'!G40</f>
        <v>0</v>
      </c>
      <c r="L40" s="430">
        <f>'B1'!H42+'CÔng Tăng'!H40-'Cộng giảm'!H40</f>
        <v>0</v>
      </c>
      <c r="M40" s="430">
        <f>'B1'!I42+'CÔng Tăng'!I40-'Cộng giảm'!I40</f>
        <v>1.72</v>
      </c>
      <c r="N40" s="430">
        <f>'B1'!J42+'CÔng Tăng'!J40-'Cộng giảm'!J40</f>
        <v>0</v>
      </c>
      <c r="O40" s="430">
        <f>'B1'!K42+'CÔng Tăng'!K40-'Cộng giảm'!K40</f>
        <v>0</v>
      </c>
      <c r="P40" s="430">
        <f>'B1'!L42+'CÔng Tăng'!L40-'Cộng giảm'!L40</f>
        <v>0</v>
      </c>
      <c r="Q40" s="430">
        <f>'B1'!M42+'CÔng Tăng'!M40-'Cộng giảm'!M40</f>
        <v>0</v>
      </c>
      <c r="R40" s="430">
        <f>'B1'!N42+'CÔng Tăng'!N40-'Cộng giảm'!N40</f>
        <v>18.5</v>
      </c>
      <c r="S40" s="430">
        <f>'B1'!O42+'CÔng Tăng'!O40-'Cộng giảm'!O40</f>
        <v>0</v>
      </c>
      <c r="T40" s="118"/>
      <c r="U40" s="255"/>
    </row>
    <row r="41" spans="1:21" s="119" customFormat="1" ht="15.75">
      <c r="A41" s="116"/>
      <c r="B41" s="22" t="s">
        <v>62</v>
      </c>
      <c r="C41" s="23" t="s">
        <v>63</v>
      </c>
      <c r="D41" s="104"/>
      <c r="E41" s="117">
        <f t="shared" si="5"/>
        <v>5.8500000000000005</v>
      </c>
      <c r="F41" s="253"/>
      <c r="G41" s="253"/>
      <c r="H41" s="430">
        <f t="shared" si="3"/>
        <v>5.8500000000000005</v>
      </c>
      <c r="I41" s="430">
        <f>'B1'!E43+'CÔng Tăng'!E41-'Cộng giảm'!E41</f>
        <v>1.99</v>
      </c>
      <c r="J41" s="430">
        <f>'B1'!F43+'CÔng Tăng'!F41-'Cộng giảm'!F41</f>
        <v>2.42</v>
      </c>
      <c r="K41" s="430">
        <f>'B1'!G43+'CÔng Tăng'!G41-'Cộng giảm'!G41</f>
        <v>0</v>
      </c>
      <c r="L41" s="430">
        <f>'B1'!H43+'CÔng Tăng'!H41-'Cộng giảm'!H41</f>
        <v>0.96</v>
      </c>
      <c r="M41" s="430">
        <f>'B1'!I43+'CÔng Tăng'!I41-'Cộng giảm'!I41</f>
        <v>0.23</v>
      </c>
      <c r="N41" s="430">
        <f>'B1'!J43+'CÔng Tăng'!J41-'Cộng giảm'!J41</f>
        <v>0.25</v>
      </c>
      <c r="O41" s="430">
        <f>'B1'!K43+'CÔng Tăng'!K41-'Cộng giảm'!K41</f>
        <v>0</v>
      </c>
      <c r="P41" s="430">
        <f>'B1'!L43+'CÔng Tăng'!L41-'Cộng giảm'!L41</f>
        <v>0</v>
      </c>
      <c r="Q41" s="430">
        <f>'B1'!M43+'CÔng Tăng'!M41-'Cộng giảm'!M41</f>
        <v>0</v>
      </c>
      <c r="R41" s="430">
        <f>'B1'!N43+'CÔng Tăng'!N41-'Cộng giảm'!N41</f>
        <v>0</v>
      </c>
      <c r="S41" s="430">
        <f>'B1'!O43+'CÔng Tăng'!O41-'Cộng giảm'!O41</f>
        <v>0</v>
      </c>
      <c r="T41" s="118"/>
      <c r="U41" s="255"/>
    </row>
    <row r="42" spans="1:21" s="119" customFormat="1" ht="30">
      <c r="A42" s="116"/>
      <c r="B42" s="22" t="s">
        <v>280</v>
      </c>
      <c r="C42" s="23" t="s">
        <v>64</v>
      </c>
      <c r="D42" s="104">
        <v>28.5</v>
      </c>
      <c r="E42" s="117">
        <f t="shared" si="5"/>
        <v>92.35</v>
      </c>
      <c r="F42" s="253"/>
      <c r="G42" s="253"/>
      <c r="H42" s="430">
        <f t="shared" si="3"/>
        <v>120.85</v>
      </c>
      <c r="I42" s="430">
        <f>'B1'!E44+'CÔng Tăng'!E42-'Cộng giảm'!E42</f>
        <v>7.18</v>
      </c>
      <c r="J42" s="430">
        <f>'B1'!F44+'CÔng Tăng'!F42-'Cộng giảm'!F42</f>
        <v>6.41</v>
      </c>
      <c r="K42" s="430">
        <f>'B1'!G44+'CÔng Tăng'!G42-'Cộng giảm'!G42</f>
        <v>15.17</v>
      </c>
      <c r="L42" s="430">
        <f>'B1'!H44+'CÔng Tăng'!H42-'Cộng giảm'!H42</f>
        <v>9.31</v>
      </c>
      <c r="M42" s="430">
        <f>'B1'!I44+'CÔng Tăng'!I42-'Cộng giảm'!I42</f>
        <v>25.65</v>
      </c>
      <c r="N42" s="430">
        <f>'B1'!J44+'CÔng Tăng'!J42-'Cộng giảm'!J42</f>
        <v>4.9400000000000004</v>
      </c>
      <c r="O42" s="430">
        <f>'B1'!K44+'CÔng Tăng'!K42-'Cộng giảm'!K42</f>
        <v>12.18</v>
      </c>
      <c r="P42" s="430">
        <f>'B1'!L44+'CÔng Tăng'!L42-'Cộng giảm'!L42</f>
        <v>26.8</v>
      </c>
      <c r="Q42" s="430">
        <f>'B1'!M44+'CÔng Tăng'!M42-'Cộng giảm'!M42</f>
        <v>3.03</v>
      </c>
      <c r="R42" s="430">
        <f>'B1'!N44+'CÔng Tăng'!N42-'Cộng giảm'!N42</f>
        <v>3.22</v>
      </c>
      <c r="S42" s="430">
        <f>'B1'!O44+'CÔng Tăng'!O42-'Cộng giảm'!O42</f>
        <v>6.96</v>
      </c>
      <c r="T42" s="118"/>
      <c r="U42" s="255"/>
    </row>
    <row r="43" spans="1:21" s="119" customFormat="1" ht="18" customHeight="1">
      <c r="A43" s="116"/>
      <c r="B43" s="22" t="s">
        <v>226</v>
      </c>
      <c r="C43" s="23" t="s">
        <v>234</v>
      </c>
      <c r="D43" s="104">
        <v>880.71000000000015</v>
      </c>
      <c r="E43" s="117">
        <f t="shared" si="5"/>
        <v>-880.71000000000015</v>
      </c>
      <c r="F43" s="253"/>
      <c r="G43" s="253"/>
      <c r="H43" s="430">
        <f t="shared" si="3"/>
        <v>0</v>
      </c>
      <c r="I43" s="430">
        <f>'B1'!E45+'CÔng Tăng'!E43-'Cộng giảm'!E43</f>
        <v>0</v>
      </c>
      <c r="J43" s="430">
        <f>'B1'!F45+'CÔng Tăng'!F43-'Cộng giảm'!F43</f>
        <v>0</v>
      </c>
      <c r="K43" s="430">
        <f>'B1'!G45+'CÔng Tăng'!G43-'Cộng giảm'!G43</f>
        <v>0</v>
      </c>
      <c r="L43" s="430">
        <f>'B1'!H45+'CÔng Tăng'!H43-'Cộng giảm'!H43</f>
        <v>0</v>
      </c>
      <c r="M43" s="430">
        <f>'B1'!I45+'CÔng Tăng'!I43-'Cộng giảm'!I43</f>
        <v>0</v>
      </c>
      <c r="N43" s="430">
        <f>'B1'!J45+'CÔng Tăng'!J43-'Cộng giảm'!J43</f>
        <v>0</v>
      </c>
      <c r="O43" s="430">
        <f>'B1'!K45+'CÔng Tăng'!K43-'Cộng giảm'!K43</f>
        <v>0</v>
      </c>
      <c r="P43" s="430">
        <f>'B1'!L45+'CÔng Tăng'!L43-'Cộng giảm'!L43</f>
        <v>0</v>
      </c>
      <c r="Q43" s="430">
        <f>'B1'!M45+'CÔng Tăng'!M43-'Cộng giảm'!M43</f>
        <v>0</v>
      </c>
      <c r="R43" s="430">
        <f>'B1'!N45+'CÔng Tăng'!N43-'Cộng giảm'!N43</f>
        <v>0</v>
      </c>
      <c r="S43" s="430">
        <f>'B1'!O45+'CÔng Tăng'!O43-'Cộng giảm'!O43</f>
        <v>0</v>
      </c>
      <c r="T43" s="118"/>
      <c r="U43" s="255"/>
    </row>
    <row r="44" spans="1:21" s="119" customFormat="1" ht="12.75" customHeight="1">
      <c r="A44" s="116"/>
      <c r="B44" s="22" t="s">
        <v>227</v>
      </c>
      <c r="C44" s="23" t="s">
        <v>235</v>
      </c>
      <c r="D44" s="104">
        <v>111.30000000000001</v>
      </c>
      <c r="E44" s="117">
        <f t="shared" si="5"/>
        <v>-110.64000000000001</v>
      </c>
      <c r="F44" s="253"/>
      <c r="G44" s="253"/>
      <c r="H44" s="430">
        <f t="shared" si="3"/>
        <v>0.66</v>
      </c>
      <c r="I44" s="430">
        <f>'B1'!E46+'CÔng Tăng'!E44-'Cộng giảm'!E44</f>
        <v>0.66</v>
      </c>
      <c r="J44" s="430">
        <f>'B1'!F46+'CÔng Tăng'!F44-'Cộng giảm'!F44</f>
        <v>0</v>
      </c>
      <c r="K44" s="430">
        <f>'B1'!G46+'CÔng Tăng'!G44-'Cộng giảm'!G44</f>
        <v>0</v>
      </c>
      <c r="L44" s="430">
        <f>'B1'!H46+'CÔng Tăng'!H44-'Cộng giảm'!H44</f>
        <v>0</v>
      </c>
      <c r="M44" s="430">
        <f>'B1'!I46+'CÔng Tăng'!I44-'Cộng giảm'!I44</f>
        <v>0</v>
      </c>
      <c r="N44" s="430">
        <f>'B1'!J46+'CÔng Tăng'!J44-'Cộng giảm'!J44</f>
        <v>0</v>
      </c>
      <c r="O44" s="430">
        <f>'B1'!K46+'CÔng Tăng'!K44-'Cộng giảm'!K44</f>
        <v>0</v>
      </c>
      <c r="P44" s="430">
        <f>'B1'!L46+'CÔng Tăng'!L44-'Cộng giảm'!L44</f>
        <v>0</v>
      </c>
      <c r="Q44" s="430">
        <f>'B1'!M46+'CÔng Tăng'!M44-'Cộng giảm'!M44</f>
        <v>0</v>
      </c>
      <c r="R44" s="430">
        <f>'B1'!N46+'CÔng Tăng'!N44-'Cộng giảm'!N44</f>
        <v>0</v>
      </c>
      <c r="S44" s="430">
        <f>'B1'!O46+'CÔng Tăng'!O44-'Cộng giảm'!O44</f>
        <v>0</v>
      </c>
      <c r="T44" s="118"/>
      <c r="U44" s="255"/>
    </row>
    <row r="45" spans="1:21" s="262" customFormat="1" ht="15.75">
      <c r="A45" s="116"/>
      <c r="B45" s="22" t="s">
        <v>231</v>
      </c>
      <c r="C45" s="23" t="s">
        <v>206</v>
      </c>
      <c r="D45" s="104">
        <v>33.309999999999995</v>
      </c>
      <c r="E45" s="117">
        <f t="shared" si="5"/>
        <v>-30.779999999999994</v>
      </c>
      <c r="F45" s="253"/>
      <c r="G45" s="253"/>
      <c r="H45" s="430">
        <f t="shared" si="3"/>
        <v>2.5299999999999998</v>
      </c>
      <c r="I45" s="430">
        <f>'B1'!E47+'CÔng Tăng'!E45-'Cộng giảm'!E45</f>
        <v>1.48</v>
      </c>
      <c r="J45" s="430">
        <f>'B1'!F47+'CÔng Tăng'!F45-'Cộng giảm'!F45</f>
        <v>0.18</v>
      </c>
      <c r="K45" s="430">
        <f>'B1'!G47+'CÔng Tăng'!G45-'Cộng giảm'!G45</f>
        <v>0.3</v>
      </c>
      <c r="L45" s="430">
        <f>'B1'!H47+'CÔng Tăng'!H45-'Cộng giảm'!H45</f>
        <v>0.3</v>
      </c>
      <c r="M45" s="430">
        <f>'B1'!I47+'CÔng Tăng'!I45-'Cộng giảm'!I45</f>
        <v>0.09</v>
      </c>
      <c r="N45" s="430">
        <f>'B1'!J47+'CÔng Tăng'!J45-'Cộng giảm'!J45</f>
        <v>0</v>
      </c>
      <c r="O45" s="430">
        <f>'B1'!K47+'CÔng Tăng'!K45-'Cộng giảm'!K45</f>
        <v>0</v>
      </c>
      <c r="P45" s="430">
        <f>'B1'!L47+'CÔng Tăng'!L45-'Cộng giảm'!L45</f>
        <v>0</v>
      </c>
      <c r="Q45" s="430">
        <f>'B1'!M47+'CÔng Tăng'!M45-'Cộng giảm'!M45</f>
        <v>0</v>
      </c>
      <c r="R45" s="430">
        <f>'B1'!N47+'CÔng Tăng'!N45-'Cộng giảm'!N45</f>
        <v>0</v>
      </c>
      <c r="S45" s="430">
        <f>'B1'!O47+'CÔng Tăng'!O45-'Cộng giảm'!O45</f>
        <v>0.18</v>
      </c>
      <c r="T45" s="118"/>
      <c r="U45" s="255"/>
    </row>
    <row r="46" spans="1:21" s="12" customFormat="1" ht="15.75">
      <c r="A46" s="85" t="s">
        <v>156</v>
      </c>
      <c r="B46" s="20" t="s">
        <v>48</v>
      </c>
      <c r="C46" s="21" t="s">
        <v>49</v>
      </c>
      <c r="D46" s="103">
        <v>1</v>
      </c>
      <c r="E46" s="106">
        <f t="shared" si="5"/>
        <v>-1</v>
      </c>
      <c r="F46" s="252"/>
      <c r="G46" s="252"/>
      <c r="H46" s="46">
        <f t="shared" si="3"/>
        <v>0</v>
      </c>
      <c r="I46" s="46">
        <f>'B1'!E48+'CÔng Tăng'!E46-'Cộng giảm'!E46</f>
        <v>0</v>
      </c>
      <c r="J46" s="46">
        <f>'B1'!F48+'CÔng Tăng'!F46-'Cộng giảm'!F46</f>
        <v>0</v>
      </c>
      <c r="K46" s="46">
        <f>'B1'!G48+'CÔng Tăng'!G46-'Cộng giảm'!G46</f>
        <v>0</v>
      </c>
      <c r="L46" s="46">
        <f>'B1'!H48+'CÔng Tăng'!H46-'Cộng giảm'!H46</f>
        <v>0</v>
      </c>
      <c r="M46" s="46">
        <f>'B1'!I48+'CÔng Tăng'!I46-'Cộng giảm'!I46</f>
        <v>0</v>
      </c>
      <c r="N46" s="46">
        <f>'B1'!J48+'CÔng Tăng'!J46-'Cộng giảm'!J46</f>
        <v>0</v>
      </c>
      <c r="O46" s="46">
        <f>'B1'!K48+'CÔng Tăng'!K46-'Cộng giảm'!K46</f>
        <v>0</v>
      </c>
      <c r="P46" s="46">
        <f>'B1'!L48+'CÔng Tăng'!L46-'Cộng giảm'!L46</f>
        <v>0</v>
      </c>
      <c r="Q46" s="46">
        <f>'B1'!M48+'CÔng Tăng'!M46-'Cộng giảm'!M46</f>
        <v>0</v>
      </c>
      <c r="R46" s="46">
        <f>'B1'!N48+'CÔng Tăng'!N46-'Cộng giảm'!N46</f>
        <v>0</v>
      </c>
      <c r="S46" s="46">
        <f>'B1'!O48+'CÔng Tăng'!O46-'Cộng giảm'!O46</f>
        <v>0</v>
      </c>
      <c r="T46" s="35"/>
      <c r="U46" s="144"/>
    </row>
    <row r="47" spans="1:21" s="12" customFormat="1" ht="15.75">
      <c r="A47" s="85" t="s">
        <v>157</v>
      </c>
      <c r="B47" s="20" t="s">
        <v>67</v>
      </c>
      <c r="C47" s="21" t="s">
        <v>68</v>
      </c>
      <c r="D47" s="103"/>
      <c r="E47" s="106">
        <f t="shared" si="5"/>
        <v>13.25</v>
      </c>
      <c r="F47" s="252"/>
      <c r="G47" s="252"/>
      <c r="H47" s="46">
        <f t="shared" si="3"/>
        <v>13.25</v>
      </c>
      <c r="I47" s="46">
        <f>'B1'!E49+'CÔng Tăng'!E47-'Cộng giảm'!E47</f>
        <v>1.26</v>
      </c>
      <c r="J47" s="46">
        <f>'B1'!F49+'CÔng Tăng'!F47-'Cộng giảm'!F47</f>
        <v>2.95</v>
      </c>
      <c r="K47" s="46">
        <f>'B1'!G49+'CÔng Tăng'!G47-'Cộng giảm'!G47</f>
        <v>1.8199999999999998</v>
      </c>
      <c r="L47" s="46">
        <f>'B1'!H49+'CÔng Tăng'!H47-'Cộng giảm'!H47</f>
        <v>0.49</v>
      </c>
      <c r="M47" s="46">
        <f>'B1'!I49+'CÔng Tăng'!I47-'Cộng giảm'!I47</f>
        <v>1.1200000000000001</v>
      </c>
      <c r="N47" s="46">
        <f>'B1'!J49+'CÔng Tăng'!J47-'Cộng giảm'!J47</f>
        <v>1.64</v>
      </c>
      <c r="O47" s="46">
        <f>'B1'!K49+'CÔng Tăng'!K47-'Cộng giảm'!K47</f>
        <v>0.26</v>
      </c>
      <c r="P47" s="46">
        <f>'B1'!L49+'CÔng Tăng'!L47-'Cộng giảm'!L47</f>
        <v>0.28999999999999998</v>
      </c>
      <c r="Q47" s="46">
        <f>'B1'!M49+'CÔng Tăng'!M47-'Cộng giảm'!M47</f>
        <v>0.49</v>
      </c>
      <c r="R47" s="46">
        <f>'B1'!N49+'CÔng Tăng'!N47-'Cộng giảm'!N47</f>
        <v>1.38</v>
      </c>
      <c r="S47" s="46">
        <f>'B1'!O49+'CÔng Tăng'!O47-'Cộng giảm'!O47</f>
        <v>1.55</v>
      </c>
      <c r="T47" s="35"/>
      <c r="U47" s="144"/>
    </row>
    <row r="48" spans="1:21" s="12" customFormat="1" ht="15.75">
      <c r="A48" s="85" t="s">
        <v>158</v>
      </c>
      <c r="B48" s="20" t="s">
        <v>69</v>
      </c>
      <c r="C48" s="21" t="s">
        <v>70</v>
      </c>
      <c r="D48" s="103">
        <v>9.3400000000000016</v>
      </c>
      <c r="E48" s="106">
        <f t="shared" si="5"/>
        <v>-3.490000000000002</v>
      </c>
      <c r="F48" s="252"/>
      <c r="G48" s="252"/>
      <c r="H48" s="46">
        <f t="shared" si="3"/>
        <v>5.85</v>
      </c>
      <c r="I48" s="46">
        <f>'B1'!E50+'CÔng Tăng'!E48-'Cộng giảm'!E48</f>
        <v>2.4</v>
      </c>
      <c r="J48" s="46">
        <f>'B1'!F50+'CÔng Tăng'!F48-'Cộng giảm'!F48</f>
        <v>0</v>
      </c>
      <c r="K48" s="46">
        <f>'B1'!G50+'CÔng Tăng'!G48-'Cộng giảm'!G48</f>
        <v>2.77</v>
      </c>
      <c r="L48" s="46">
        <f>'B1'!H50+'CÔng Tăng'!H48-'Cộng giảm'!H48</f>
        <v>0</v>
      </c>
      <c r="M48" s="46">
        <f>'B1'!I50+'CÔng Tăng'!I48-'Cộng giảm'!I48</f>
        <v>0.68</v>
      </c>
      <c r="N48" s="46">
        <f>'B1'!J50+'CÔng Tăng'!J48-'Cộng giảm'!J48</f>
        <v>0</v>
      </c>
      <c r="O48" s="46">
        <f>'B1'!K50+'CÔng Tăng'!K48-'Cộng giảm'!K48</f>
        <v>0</v>
      </c>
      <c r="P48" s="46">
        <f>'B1'!L50+'CÔng Tăng'!L48-'Cộng giảm'!L48</f>
        <v>0</v>
      </c>
      <c r="Q48" s="46">
        <f>'B1'!M50+'CÔng Tăng'!M48-'Cộng giảm'!M48</f>
        <v>0</v>
      </c>
      <c r="R48" s="46">
        <f>'B1'!N50+'CÔng Tăng'!N48-'Cộng giảm'!N48</f>
        <v>0</v>
      </c>
      <c r="S48" s="46">
        <f>'B1'!O50+'CÔng Tăng'!O48-'Cộng giảm'!O48</f>
        <v>0</v>
      </c>
      <c r="T48" s="35"/>
      <c r="U48" s="144"/>
    </row>
    <row r="49" spans="1:21" s="12" customFormat="1" ht="15.75">
      <c r="A49" s="85" t="s">
        <v>159</v>
      </c>
      <c r="B49" s="20" t="s">
        <v>52</v>
      </c>
      <c r="C49" s="21" t="s">
        <v>53</v>
      </c>
      <c r="D49" s="103">
        <v>170.36</v>
      </c>
      <c r="E49" s="106">
        <f t="shared" si="5"/>
        <v>636.73</v>
      </c>
      <c r="F49" s="252"/>
      <c r="G49" s="252"/>
      <c r="H49" s="46">
        <f t="shared" si="3"/>
        <v>807.09</v>
      </c>
      <c r="I49" s="46">
        <f>'B1'!E51+'CÔng Tăng'!E49-'Cộng giảm'!E49</f>
        <v>0</v>
      </c>
      <c r="J49" s="46">
        <f>'B1'!F51+'CÔng Tăng'!F49-'Cộng giảm'!F49</f>
        <v>83.26</v>
      </c>
      <c r="K49" s="46">
        <f>'B1'!G51+'CÔng Tăng'!G49-'Cộng giảm'!G49</f>
        <v>202.33</v>
      </c>
      <c r="L49" s="46">
        <f>'B1'!H51+'CÔng Tăng'!H49-'Cộng giảm'!H49</f>
        <v>53.36</v>
      </c>
      <c r="M49" s="46">
        <f>'B1'!I51+'CÔng Tăng'!I49-'Cộng giảm'!I49</f>
        <v>63.32</v>
      </c>
      <c r="N49" s="46">
        <f>'B1'!J51+'CÔng Tăng'!J49-'Cộng giảm'!J49</f>
        <v>49.24</v>
      </c>
      <c r="O49" s="46">
        <f>'B1'!K51+'CÔng Tăng'!K49-'Cộng giảm'!K49</f>
        <v>47.15</v>
      </c>
      <c r="P49" s="46">
        <f>'B1'!L51+'CÔng Tăng'!L49-'Cộng giảm'!L49</f>
        <v>37.93</v>
      </c>
      <c r="Q49" s="46">
        <f>'B1'!M51+'CÔng Tăng'!M49-'Cộng giảm'!M49</f>
        <v>60.75</v>
      </c>
      <c r="R49" s="46">
        <f>'B1'!N51+'CÔng Tăng'!N49-'Cộng giảm'!N49</f>
        <v>44.620000000000005</v>
      </c>
      <c r="S49" s="46">
        <f>'B1'!O51+'CÔng Tăng'!O49-'Cộng giảm'!O49</f>
        <v>165.13</v>
      </c>
      <c r="T49" s="35"/>
      <c r="U49" s="144"/>
    </row>
    <row r="50" spans="1:21" s="12" customFormat="1" ht="15.75">
      <c r="A50" s="85" t="s">
        <v>160</v>
      </c>
      <c r="B50" s="20" t="s">
        <v>54</v>
      </c>
      <c r="C50" s="21" t="s">
        <v>55</v>
      </c>
      <c r="D50" s="103">
        <v>203.18</v>
      </c>
      <c r="E50" s="106">
        <f t="shared" si="5"/>
        <v>-78.12</v>
      </c>
      <c r="F50" s="252"/>
      <c r="G50" s="252"/>
      <c r="H50" s="46">
        <f t="shared" si="3"/>
        <v>125.06</v>
      </c>
      <c r="I50" s="46">
        <f>'B1'!E52+'CÔng Tăng'!E50-'Cộng giảm'!E50</f>
        <v>125.06</v>
      </c>
      <c r="J50" s="46">
        <f>'B1'!F52+'CÔng Tăng'!F50-'Cộng giảm'!F50</f>
        <v>0</v>
      </c>
      <c r="K50" s="46">
        <f>'B1'!G52+'CÔng Tăng'!G50-'Cộng giảm'!G50</f>
        <v>0</v>
      </c>
      <c r="L50" s="46">
        <f>'B1'!H52+'CÔng Tăng'!H50-'Cộng giảm'!H50</f>
        <v>0</v>
      </c>
      <c r="M50" s="46">
        <f>'B1'!I52+'CÔng Tăng'!I50-'Cộng giảm'!I50</f>
        <v>0</v>
      </c>
      <c r="N50" s="46">
        <f>'B1'!J52+'CÔng Tăng'!J50-'Cộng giảm'!J50</f>
        <v>0</v>
      </c>
      <c r="O50" s="46">
        <f>'B1'!K52+'CÔng Tăng'!K50-'Cộng giảm'!K50</f>
        <v>0</v>
      </c>
      <c r="P50" s="46">
        <f>'B1'!L52+'CÔng Tăng'!L50-'Cộng giảm'!L50</f>
        <v>0</v>
      </c>
      <c r="Q50" s="46">
        <f>'B1'!M52+'CÔng Tăng'!M50-'Cộng giảm'!M50</f>
        <v>0</v>
      </c>
      <c r="R50" s="46">
        <f>'B1'!N52+'CÔng Tăng'!N50-'Cộng giảm'!N50</f>
        <v>0</v>
      </c>
      <c r="S50" s="46">
        <f>'B1'!O52+'CÔng Tăng'!O50-'Cộng giảm'!O50</f>
        <v>0</v>
      </c>
      <c r="T50" s="35"/>
      <c r="U50" s="144"/>
    </row>
    <row r="51" spans="1:21" s="12" customFormat="1" ht="15.75">
      <c r="A51" s="85" t="s">
        <v>161</v>
      </c>
      <c r="B51" s="20" t="s">
        <v>56</v>
      </c>
      <c r="C51" s="21" t="s">
        <v>57</v>
      </c>
      <c r="D51" s="103">
        <v>17.209999999999997</v>
      </c>
      <c r="E51" s="106">
        <f t="shared" si="5"/>
        <v>3.7600000000000051</v>
      </c>
      <c r="F51" s="252"/>
      <c r="G51" s="252"/>
      <c r="H51" s="46">
        <f t="shared" si="3"/>
        <v>20.970000000000002</v>
      </c>
      <c r="I51" s="46">
        <f>'B1'!E53+'CÔng Tăng'!E51-'Cộng giảm'!E51</f>
        <v>12.02</v>
      </c>
      <c r="J51" s="46">
        <f>'B1'!F53+'CÔng Tăng'!F51-'Cộng giảm'!F51</f>
        <v>0.49</v>
      </c>
      <c r="K51" s="46">
        <f>'B1'!G53+'CÔng Tăng'!G51-'Cộng giảm'!G51</f>
        <v>3.65</v>
      </c>
      <c r="L51" s="46">
        <f>'B1'!H53+'CÔng Tăng'!H51-'Cộng giảm'!H51</f>
        <v>0.36</v>
      </c>
      <c r="M51" s="46">
        <f>'B1'!I53+'CÔng Tăng'!I51-'Cộng giảm'!I51</f>
        <v>0.48000000000000004</v>
      </c>
      <c r="N51" s="46">
        <f>'B1'!J53+'CÔng Tăng'!J51-'Cộng giảm'!J51</f>
        <v>0.27</v>
      </c>
      <c r="O51" s="46">
        <f>'B1'!K53+'CÔng Tăng'!K51-'Cộng giảm'!K51</f>
        <v>0.92</v>
      </c>
      <c r="P51" s="46">
        <f>'B1'!L53+'CÔng Tăng'!L51-'Cộng giảm'!L51</f>
        <v>0.39</v>
      </c>
      <c r="Q51" s="46">
        <f>'B1'!M53+'CÔng Tăng'!M51-'Cộng giảm'!M51</f>
        <v>0.89</v>
      </c>
      <c r="R51" s="46">
        <f>'B1'!N53+'CÔng Tăng'!N51-'Cộng giảm'!N51</f>
        <v>1.1600000000000001</v>
      </c>
      <c r="S51" s="46">
        <f>'B1'!O53+'CÔng Tăng'!O51-'Cộng giảm'!O51</f>
        <v>0.34</v>
      </c>
      <c r="T51" s="35"/>
      <c r="U51" s="144"/>
    </row>
    <row r="52" spans="1:21" s="12" customFormat="1" ht="30">
      <c r="A52" s="85" t="s">
        <v>162</v>
      </c>
      <c r="B52" s="20" t="s">
        <v>58</v>
      </c>
      <c r="C52" s="21" t="s">
        <v>59</v>
      </c>
      <c r="D52" s="103">
        <v>23.57</v>
      </c>
      <c r="E52" s="106">
        <f t="shared" si="5"/>
        <v>-18.54</v>
      </c>
      <c r="F52" s="252"/>
      <c r="G52" s="252"/>
      <c r="H52" s="46">
        <f t="shared" si="3"/>
        <v>5.03</v>
      </c>
      <c r="I52" s="46">
        <f>'B1'!E54+'CÔng Tăng'!E52-'Cộng giảm'!E52</f>
        <v>0.14000000000000001</v>
      </c>
      <c r="J52" s="46">
        <f>'B1'!F54+'CÔng Tăng'!F52-'Cộng giảm'!F52</f>
        <v>0</v>
      </c>
      <c r="K52" s="46">
        <f>'B1'!G54+'CÔng Tăng'!G52-'Cộng giảm'!G52</f>
        <v>3.03</v>
      </c>
      <c r="L52" s="46">
        <f>'B1'!H54+'CÔng Tăng'!H52-'Cộng giảm'!H52</f>
        <v>0.77</v>
      </c>
      <c r="M52" s="46">
        <f>'B1'!I54+'CÔng Tăng'!I52-'Cộng giảm'!I52</f>
        <v>0</v>
      </c>
      <c r="N52" s="46">
        <f>'B1'!J54+'CÔng Tăng'!J52-'Cộng giảm'!J52</f>
        <v>0</v>
      </c>
      <c r="O52" s="46">
        <f>'B1'!K54+'CÔng Tăng'!K52-'Cộng giảm'!K52</f>
        <v>0</v>
      </c>
      <c r="P52" s="46">
        <f>'B1'!L54+'CÔng Tăng'!L52-'Cộng giảm'!L52</f>
        <v>1.0900000000000001</v>
      </c>
      <c r="Q52" s="46">
        <f>'B1'!M54+'CÔng Tăng'!M52-'Cộng giảm'!M52</f>
        <v>0</v>
      </c>
      <c r="R52" s="46">
        <f>'B1'!N54+'CÔng Tăng'!N52-'Cộng giảm'!N52</f>
        <v>0</v>
      </c>
      <c r="S52" s="46">
        <f>'B1'!O54+'CÔng Tăng'!O52-'Cộng giảm'!O52</f>
        <v>0</v>
      </c>
      <c r="T52" s="35"/>
      <c r="U52" s="144"/>
    </row>
    <row r="53" spans="1:21" s="12" customFormat="1" ht="15.75">
      <c r="A53" s="85" t="s">
        <v>163</v>
      </c>
      <c r="B53" s="20" t="s">
        <v>60</v>
      </c>
      <c r="C53" s="21" t="s">
        <v>61</v>
      </c>
      <c r="D53" s="103">
        <v>1.45</v>
      </c>
      <c r="E53" s="106">
        <f t="shared" si="5"/>
        <v>-1.45</v>
      </c>
      <c r="F53" s="252"/>
      <c r="G53" s="252"/>
      <c r="H53" s="46">
        <f t="shared" si="3"/>
        <v>0</v>
      </c>
      <c r="I53" s="46">
        <f>'B1'!E55+'CÔng Tăng'!E53-'Cộng giảm'!E53</f>
        <v>0</v>
      </c>
      <c r="J53" s="46">
        <f>'B1'!F55+'CÔng Tăng'!F53-'Cộng giảm'!F53</f>
        <v>0</v>
      </c>
      <c r="K53" s="46">
        <f>'B1'!G55+'CÔng Tăng'!G53-'Cộng giảm'!G53</f>
        <v>0</v>
      </c>
      <c r="L53" s="46">
        <f>'B1'!H55+'CÔng Tăng'!H53-'Cộng giảm'!H53</f>
        <v>0</v>
      </c>
      <c r="M53" s="46">
        <f>'B1'!I55+'CÔng Tăng'!I53-'Cộng giảm'!I53</f>
        <v>0</v>
      </c>
      <c r="N53" s="46">
        <f>'B1'!J55+'CÔng Tăng'!J53-'Cộng giảm'!J53</f>
        <v>0</v>
      </c>
      <c r="O53" s="46">
        <f>'B1'!K55+'CÔng Tăng'!K53-'Cộng giảm'!K53</f>
        <v>0</v>
      </c>
      <c r="P53" s="46">
        <f>'B1'!L55+'CÔng Tăng'!L53-'Cộng giảm'!L53</f>
        <v>0</v>
      </c>
      <c r="Q53" s="46">
        <f>'B1'!M55+'CÔng Tăng'!M53-'Cộng giảm'!M53</f>
        <v>0</v>
      </c>
      <c r="R53" s="46">
        <f>'B1'!N55+'CÔng Tăng'!N53-'Cộng giảm'!N53</f>
        <v>0</v>
      </c>
      <c r="S53" s="46">
        <f>'B1'!O55+'CÔng Tăng'!O53-'Cộng giảm'!O53</f>
        <v>0</v>
      </c>
      <c r="T53" s="35"/>
      <c r="U53" s="144"/>
    </row>
    <row r="54" spans="1:21" s="12" customFormat="1" ht="15.75">
      <c r="A54" s="85" t="s">
        <v>164</v>
      </c>
      <c r="B54" s="20" t="s">
        <v>71</v>
      </c>
      <c r="C54" s="21" t="s">
        <v>72</v>
      </c>
      <c r="D54" s="103">
        <v>1031.26</v>
      </c>
      <c r="E54" s="106">
        <f t="shared" si="5"/>
        <v>-1030.99</v>
      </c>
      <c r="F54" s="252"/>
      <c r="G54" s="252"/>
      <c r="H54" s="46">
        <f t="shared" si="3"/>
        <v>0.27</v>
      </c>
      <c r="I54" s="46">
        <f>'B1'!E56+'CÔng Tăng'!E54-'Cộng giảm'!E54</f>
        <v>0</v>
      </c>
      <c r="J54" s="46">
        <f>'B1'!F56+'CÔng Tăng'!F54-'Cộng giảm'!F54</f>
        <v>0</v>
      </c>
      <c r="K54" s="46">
        <f>'B1'!G56+'CÔng Tăng'!G54-'Cộng giảm'!G54</f>
        <v>0</v>
      </c>
      <c r="L54" s="46">
        <f>'B1'!H56+'CÔng Tăng'!H54-'Cộng giảm'!H54</f>
        <v>0</v>
      </c>
      <c r="M54" s="46">
        <f>'B1'!I56+'CÔng Tăng'!I54-'Cộng giảm'!I54</f>
        <v>0</v>
      </c>
      <c r="N54" s="46">
        <f>'B1'!J56+'CÔng Tăng'!J54-'Cộng giảm'!J54</f>
        <v>0</v>
      </c>
      <c r="O54" s="46">
        <f>'B1'!K56+'CÔng Tăng'!K54-'Cộng giảm'!K54</f>
        <v>0</v>
      </c>
      <c r="P54" s="46">
        <f>'B1'!L56+'CÔng Tăng'!L54-'Cộng giảm'!L54</f>
        <v>0</v>
      </c>
      <c r="Q54" s="46">
        <f>'B1'!M56+'CÔng Tăng'!M54-'Cộng giảm'!M54</f>
        <v>0</v>
      </c>
      <c r="R54" s="46">
        <f>'B1'!N56+'CÔng Tăng'!N54-'Cộng giảm'!N54</f>
        <v>0.23</v>
      </c>
      <c r="S54" s="46">
        <f>'B1'!O56+'CÔng Tăng'!O54-'Cộng giảm'!O54</f>
        <v>0.04</v>
      </c>
      <c r="T54" s="35"/>
      <c r="U54" s="144"/>
    </row>
    <row r="55" spans="1:21" s="12" customFormat="1" ht="15.75">
      <c r="A55" s="85" t="s">
        <v>165</v>
      </c>
      <c r="B55" s="20" t="s">
        <v>181</v>
      </c>
      <c r="C55" s="21" t="s">
        <v>74</v>
      </c>
      <c r="D55" s="103">
        <v>57.489999999999995</v>
      </c>
      <c r="E55" s="106">
        <f t="shared" si="5"/>
        <v>931.07000000000016</v>
      </c>
      <c r="F55" s="252"/>
      <c r="G55" s="252"/>
      <c r="H55" s="46">
        <f t="shared" si="3"/>
        <v>988.56000000000017</v>
      </c>
      <c r="I55" s="46">
        <f>'B1'!E57+'CÔng Tăng'!E55-'Cộng giảm'!E55</f>
        <v>31.6</v>
      </c>
      <c r="J55" s="46">
        <f>'B1'!F57+'CÔng Tăng'!F55-'Cộng giảm'!F55</f>
        <v>105.51</v>
      </c>
      <c r="K55" s="46">
        <f>'B1'!G57+'CÔng Tăng'!G55-'Cộng giảm'!G55</f>
        <v>188.1</v>
      </c>
      <c r="L55" s="46">
        <f>'B1'!H57+'CÔng Tăng'!H55-'Cộng giảm'!H55</f>
        <v>153.56</v>
      </c>
      <c r="M55" s="46">
        <f>'B1'!I57+'CÔng Tăng'!I55-'Cộng giảm'!I55</f>
        <v>36.880000000000003</v>
      </c>
      <c r="N55" s="46">
        <f>'B1'!J57+'CÔng Tăng'!J55-'Cộng giảm'!J55</f>
        <v>60.11</v>
      </c>
      <c r="O55" s="46">
        <f>'B1'!K57+'CÔng Tăng'!K55-'Cộng giảm'!K55</f>
        <v>79.62</v>
      </c>
      <c r="P55" s="46">
        <f>'B1'!L57+'CÔng Tăng'!L55-'Cộng giảm'!L55</f>
        <v>139.13999999999999</v>
      </c>
      <c r="Q55" s="46">
        <f>'B1'!M57+'CÔng Tăng'!M55-'Cộng giảm'!M55</f>
        <v>38.92</v>
      </c>
      <c r="R55" s="46">
        <f>'B1'!N57+'CÔng Tăng'!N55-'Cộng giảm'!N55</f>
        <v>81.680000000000007</v>
      </c>
      <c r="S55" s="46">
        <f>'B1'!O57+'CÔng Tăng'!O55-'Cộng giảm'!O55</f>
        <v>73.44</v>
      </c>
      <c r="T55" s="35"/>
      <c r="U55" s="144"/>
    </row>
    <row r="56" spans="1:21" s="12" customFormat="1" ht="15.75">
      <c r="A56" s="85" t="s">
        <v>166</v>
      </c>
      <c r="B56" s="20" t="s">
        <v>75</v>
      </c>
      <c r="C56" s="21" t="s">
        <v>76</v>
      </c>
      <c r="D56" s="103">
        <v>0.47</v>
      </c>
      <c r="E56" s="106">
        <f t="shared" si="5"/>
        <v>64.080000000000013</v>
      </c>
      <c r="F56" s="252"/>
      <c r="G56" s="252"/>
      <c r="H56" s="46">
        <f t="shared" si="3"/>
        <v>64.550000000000011</v>
      </c>
      <c r="I56" s="46">
        <f>'B1'!E58+'CÔng Tăng'!E56-'Cộng giảm'!E56</f>
        <v>2.06</v>
      </c>
      <c r="J56" s="46">
        <f>'B1'!F58+'CÔng Tăng'!F56-'Cộng giảm'!F56</f>
        <v>16.07</v>
      </c>
      <c r="K56" s="46">
        <f>'B1'!G58+'CÔng Tăng'!G56-'Cộng giảm'!G56</f>
        <v>21.31</v>
      </c>
      <c r="L56" s="46">
        <f>'B1'!H58+'CÔng Tăng'!H56-'Cộng giảm'!H56</f>
        <v>0</v>
      </c>
      <c r="M56" s="46">
        <f>'B1'!I58+'CÔng Tăng'!I56-'Cộng giảm'!I56</f>
        <v>0.31</v>
      </c>
      <c r="N56" s="46">
        <f>'B1'!J58+'CÔng Tăng'!J56-'Cộng giảm'!J56</f>
        <v>0</v>
      </c>
      <c r="O56" s="46">
        <f>'B1'!K58+'CÔng Tăng'!K56-'Cộng giảm'!K56</f>
        <v>4.3099999999999996</v>
      </c>
      <c r="P56" s="46">
        <f>'B1'!L58+'CÔng Tăng'!L56-'Cộng giảm'!L56</f>
        <v>0</v>
      </c>
      <c r="Q56" s="46">
        <f>'B1'!M58+'CÔng Tăng'!M56-'Cộng giảm'!M56</f>
        <v>0.84</v>
      </c>
      <c r="R56" s="46">
        <f>'B1'!N58+'CÔng Tăng'!N56-'Cộng giảm'!N56</f>
        <v>0</v>
      </c>
      <c r="S56" s="46">
        <f>'B1'!O58+'CÔng Tăng'!O56-'Cộng giảm'!O56</f>
        <v>19.649999999999999</v>
      </c>
      <c r="T56" s="35"/>
      <c r="U56" s="144"/>
    </row>
    <row r="57" spans="1:21" s="145" customFormat="1" ht="15.75">
      <c r="A57" s="85" t="s">
        <v>167</v>
      </c>
      <c r="B57" s="20" t="s">
        <v>77</v>
      </c>
      <c r="C57" s="21" t="s">
        <v>78</v>
      </c>
      <c r="D57" s="103">
        <v>136.43999999999988</v>
      </c>
      <c r="E57" s="257">
        <f t="shared" si="5"/>
        <v>-121.80999999999989</v>
      </c>
      <c r="F57" s="258"/>
      <c r="G57" s="258"/>
      <c r="H57" s="46">
        <f t="shared" si="3"/>
        <v>14.63</v>
      </c>
      <c r="I57" s="46">
        <f>'B1'!E59+'CÔng Tăng'!E57-'Cộng giảm'!E57</f>
        <v>0</v>
      </c>
      <c r="J57" s="46">
        <f>'B1'!F59+'CÔng Tăng'!F57-'Cộng giảm'!F57</f>
        <v>0.5</v>
      </c>
      <c r="K57" s="46">
        <f>'B1'!G59+'CÔng Tăng'!G57-'Cộng giảm'!G57</f>
        <v>0.15</v>
      </c>
      <c r="L57" s="46">
        <f>'B1'!H59+'CÔng Tăng'!H57-'Cộng giảm'!H57</f>
        <v>8.67</v>
      </c>
      <c r="M57" s="46">
        <f>'B1'!I59+'CÔng Tăng'!I57-'Cộng giảm'!I57</f>
        <v>1.98</v>
      </c>
      <c r="N57" s="46">
        <f>'B1'!J59+'CÔng Tăng'!J57-'Cộng giảm'!J57</f>
        <v>0</v>
      </c>
      <c r="O57" s="46">
        <f>'B1'!K59+'CÔng Tăng'!K57-'Cộng giảm'!K57</f>
        <v>0</v>
      </c>
      <c r="P57" s="46">
        <f>'B1'!L59+'CÔng Tăng'!L57-'Cộng giảm'!L57</f>
        <v>0</v>
      </c>
      <c r="Q57" s="46">
        <f>'B1'!M59+'CÔng Tăng'!M57-'Cộng giảm'!M57</f>
        <v>1.85</v>
      </c>
      <c r="R57" s="46">
        <f>'B1'!N59+'CÔng Tăng'!N57-'Cộng giảm'!N57</f>
        <v>1.05</v>
      </c>
      <c r="S57" s="46">
        <f>'B1'!O59+'CÔng Tăng'!O57-'Cộng giảm'!O57</f>
        <v>0.43</v>
      </c>
      <c r="T57" s="35"/>
    </row>
    <row r="58" spans="1:21" s="10" customFormat="1" ht="14.25">
      <c r="A58" s="43">
        <v>3</v>
      </c>
      <c r="B58" s="24" t="s">
        <v>79</v>
      </c>
      <c r="C58" s="25" t="s">
        <v>80</v>
      </c>
      <c r="D58" s="25"/>
      <c r="E58" s="25"/>
      <c r="F58" s="25"/>
      <c r="G58" s="25"/>
      <c r="H58" s="47">
        <f t="shared" si="3"/>
        <v>155.36000000000001</v>
      </c>
      <c r="I58" s="47">
        <f>'B1'!E60+'CÔng Tăng'!E58-'Cộng giảm'!E58</f>
        <v>0</v>
      </c>
      <c r="J58" s="47">
        <f>'B1'!F60+'CÔng Tăng'!F58-'Cộng giảm'!F58</f>
        <v>0</v>
      </c>
      <c r="K58" s="47">
        <f>'B1'!G60+'CÔng Tăng'!G58-'Cộng giảm'!G58</f>
        <v>9.7899999999999991</v>
      </c>
      <c r="L58" s="47">
        <f>'B1'!H60+'CÔng Tăng'!H58-'Cộng giảm'!H58</f>
        <v>36.47</v>
      </c>
      <c r="M58" s="47">
        <f>'B1'!I60+'CÔng Tăng'!I58-'Cộng giảm'!I58</f>
        <v>8.14</v>
      </c>
      <c r="N58" s="47">
        <f>'B1'!J60+'CÔng Tăng'!J58-'Cộng giảm'!J58</f>
        <v>9.65</v>
      </c>
      <c r="O58" s="47">
        <f>'B1'!K60+'CÔng Tăng'!K58-'Cộng giảm'!K58</f>
        <v>11.8</v>
      </c>
      <c r="P58" s="47">
        <f>'B1'!L60+'CÔng Tăng'!L58-'Cộng giảm'!L58</f>
        <v>21.28</v>
      </c>
      <c r="Q58" s="47">
        <f>'B1'!M60+'CÔng Tăng'!M58-'Cộng giảm'!M58</f>
        <v>0</v>
      </c>
      <c r="R58" s="47">
        <f>'B1'!N60+'CÔng Tăng'!N58-'Cộng giảm'!N58</f>
        <v>0</v>
      </c>
      <c r="S58" s="47">
        <f>'B1'!O60+'CÔng Tăng'!O58-'Cộng giảm'!O58</f>
        <v>58.230000000000004</v>
      </c>
      <c r="T58" s="40"/>
    </row>
    <row r="59" spans="1:21" ht="15">
      <c r="A59" s="43" t="s">
        <v>286</v>
      </c>
      <c r="B59" s="24" t="s">
        <v>287</v>
      </c>
      <c r="C59" s="21"/>
      <c r="D59" s="21"/>
      <c r="E59" s="21"/>
      <c r="F59" s="21"/>
      <c r="G59" s="21"/>
      <c r="H59" s="46">
        <f t="shared" si="3"/>
        <v>0</v>
      </c>
      <c r="I59" s="46"/>
      <c r="J59" s="46"/>
      <c r="K59" s="46"/>
      <c r="L59" s="46"/>
      <c r="M59" s="46"/>
      <c r="N59" s="46"/>
      <c r="O59" s="46"/>
      <c r="P59" s="46"/>
      <c r="Q59" s="46"/>
      <c r="R59" s="46"/>
      <c r="S59" s="46"/>
      <c r="T59" s="35"/>
    </row>
    <row r="60" spans="1:21" ht="15">
      <c r="A60" s="264">
        <v>1</v>
      </c>
      <c r="B60" s="265" t="s">
        <v>288</v>
      </c>
      <c r="C60" s="266"/>
      <c r="D60" s="266"/>
      <c r="E60" s="266"/>
      <c r="F60" s="266"/>
      <c r="G60" s="266"/>
      <c r="H60" s="46">
        <f t="shared" si="3"/>
        <v>0</v>
      </c>
      <c r="I60" s="46"/>
      <c r="J60" s="46"/>
      <c r="K60" s="46"/>
      <c r="L60" s="46"/>
      <c r="M60" s="46"/>
      <c r="N60" s="46"/>
      <c r="O60" s="46"/>
      <c r="P60" s="46"/>
      <c r="Q60" s="46"/>
      <c r="R60" s="46"/>
      <c r="S60" s="46"/>
      <c r="T60" s="35"/>
    </row>
    <row r="61" spans="1:21" ht="15">
      <c r="A61" s="264">
        <v>2</v>
      </c>
      <c r="B61" s="265" t="s">
        <v>289</v>
      </c>
      <c r="C61" s="266"/>
      <c r="D61" s="266"/>
      <c r="E61" s="266"/>
      <c r="F61" s="266"/>
      <c r="G61" s="266"/>
      <c r="H61" s="46">
        <f t="shared" si="3"/>
        <v>0</v>
      </c>
      <c r="I61" s="46"/>
      <c r="J61" s="46"/>
      <c r="K61" s="46"/>
      <c r="L61" s="46"/>
      <c r="M61" s="46"/>
      <c r="N61" s="46"/>
      <c r="O61" s="46"/>
      <c r="P61" s="46"/>
      <c r="Q61" s="46"/>
      <c r="R61" s="46"/>
      <c r="S61" s="46"/>
      <c r="T61" s="35"/>
    </row>
    <row r="62" spans="1:21" ht="15">
      <c r="A62" s="264">
        <v>3</v>
      </c>
      <c r="B62" s="265" t="s">
        <v>128</v>
      </c>
      <c r="C62" s="266"/>
      <c r="D62" s="266"/>
      <c r="E62" s="266"/>
      <c r="F62" s="266"/>
      <c r="G62" s="266"/>
      <c r="H62" s="46">
        <f t="shared" si="3"/>
        <v>0</v>
      </c>
      <c r="I62" s="46"/>
      <c r="J62" s="46"/>
      <c r="K62" s="46"/>
      <c r="L62" s="46"/>
      <c r="M62" s="46"/>
      <c r="N62" s="46"/>
      <c r="O62" s="46"/>
      <c r="P62" s="46"/>
      <c r="Q62" s="46"/>
      <c r="R62" s="46"/>
      <c r="S62" s="46"/>
      <c r="T62" s="35"/>
    </row>
    <row r="63" spans="1:21" ht="57">
      <c r="A63" s="264">
        <v>4</v>
      </c>
      <c r="B63" s="265" t="s">
        <v>290</v>
      </c>
      <c r="C63" s="266"/>
      <c r="D63" s="266"/>
      <c r="E63" s="266"/>
      <c r="F63" s="266"/>
      <c r="G63" s="266"/>
      <c r="H63" s="46">
        <f t="shared" si="3"/>
        <v>0</v>
      </c>
      <c r="I63" s="267"/>
      <c r="J63" s="267"/>
      <c r="K63" s="267"/>
      <c r="L63" s="267"/>
      <c r="M63" s="267"/>
      <c r="N63" s="267"/>
      <c r="O63" s="267"/>
      <c r="P63" s="267"/>
      <c r="Q63" s="267"/>
      <c r="R63" s="267"/>
      <c r="S63" s="267"/>
      <c r="T63" s="35"/>
    </row>
    <row r="64" spans="1:21" ht="42.75">
      <c r="A64" s="264">
        <v>5</v>
      </c>
      <c r="B64" s="265" t="s">
        <v>291</v>
      </c>
      <c r="C64" s="266"/>
      <c r="D64" s="266"/>
      <c r="E64" s="266"/>
      <c r="F64" s="266"/>
      <c r="G64" s="266"/>
      <c r="H64" s="46">
        <f t="shared" si="3"/>
        <v>85951.430000000022</v>
      </c>
      <c r="I64" s="267">
        <f>I13+I14+I16</f>
        <v>82.830000000000013</v>
      </c>
      <c r="J64" s="267">
        <f t="shared" ref="J64:S64" si="6">J13+J14+J16</f>
        <v>622.98</v>
      </c>
      <c r="K64" s="267">
        <f t="shared" si="6"/>
        <v>45866.93</v>
      </c>
      <c r="L64" s="267">
        <f t="shared" si="6"/>
        <v>22674.36</v>
      </c>
      <c r="M64" s="267">
        <f t="shared" si="6"/>
        <v>58.8</v>
      </c>
      <c r="N64" s="267">
        <f t="shared" si="6"/>
        <v>314.8</v>
      </c>
      <c r="O64" s="267">
        <f t="shared" si="6"/>
        <v>2278.7399999999998</v>
      </c>
      <c r="P64" s="267">
        <f t="shared" si="6"/>
        <v>2757.94</v>
      </c>
      <c r="Q64" s="267">
        <f t="shared" si="6"/>
        <v>41.21</v>
      </c>
      <c r="R64" s="267">
        <f t="shared" si="6"/>
        <v>11171.58</v>
      </c>
      <c r="S64" s="267">
        <f t="shared" si="6"/>
        <v>81.260000000000005</v>
      </c>
      <c r="T64" s="35"/>
    </row>
    <row r="65" spans="1:20" ht="15">
      <c r="A65" s="264">
        <v>6</v>
      </c>
      <c r="B65" s="265" t="s">
        <v>292</v>
      </c>
      <c r="C65" s="266"/>
      <c r="D65" s="266"/>
      <c r="E65" s="266"/>
      <c r="F65" s="266"/>
      <c r="G65" s="266"/>
      <c r="H65" s="46">
        <f t="shared" si="3"/>
        <v>0</v>
      </c>
      <c r="I65" s="267"/>
      <c r="J65" s="267"/>
      <c r="K65" s="267"/>
      <c r="L65" s="267"/>
      <c r="M65" s="267"/>
      <c r="N65" s="267"/>
      <c r="O65" s="267"/>
      <c r="P65" s="267"/>
      <c r="Q65" s="267"/>
      <c r="R65" s="267"/>
      <c r="S65" s="267"/>
      <c r="T65" s="35"/>
    </row>
    <row r="66" spans="1:20" ht="28.5">
      <c r="A66" s="264">
        <v>7</v>
      </c>
      <c r="B66" s="265" t="s">
        <v>293</v>
      </c>
      <c r="C66" s="266"/>
      <c r="D66" s="266"/>
      <c r="E66" s="266"/>
      <c r="F66" s="266"/>
      <c r="G66" s="266"/>
      <c r="H66" s="46">
        <f t="shared" si="3"/>
        <v>44679.45</v>
      </c>
      <c r="I66" s="267">
        <v>73.260000000000005</v>
      </c>
      <c r="J66" s="267"/>
      <c r="K66" s="267">
        <v>19237.21</v>
      </c>
      <c r="L66" s="267">
        <v>21352.13</v>
      </c>
      <c r="M66" s="267"/>
      <c r="N66" s="267"/>
      <c r="O66" s="267">
        <v>1538.22</v>
      </c>
      <c r="P66" s="267">
        <v>2478.63</v>
      </c>
      <c r="Q66" s="267"/>
      <c r="R66" s="267"/>
      <c r="S66" s="267"/>
      <c r="T66" s="35"/>
    </row>
    <row r="67" spans="1:20" ht="28.5">
      <c r="A67" s="264">
        <v>8</v>
      </c>
      <c r="B67" s="265" t="s">
        <v>294</v>
      </c>
      <c r="C67" s="266"/>
      <c r="D67" s="266"/>
      <c r="E67" s="266"/>
      <c r="F67" s="266"/>
      <c r="G67" s="266"/>
      <c r="H67" s="46">
        <f t="shared" si="3"/>
        <v>25</v>
      </c>
      <c r="I67" s="267">
        <f>I24</f>
        <v>25</v>
      </c>
      <c r="J67" s="267"/>
      <c r="K67" s="267"/>
      <c r="L67" s="267"/>
      <c r="M67" s="267"/>
      <c r="N67" s="267"/>
      <c r="O67" s="267"/>
      <c r="P67" s="267"/>
      <c r="Q67" s="267"/>
      <c r="R67" s="267"/>
      <c r="S67" s="267"/>
      <c r="T67" s="35"/>
    </row>
    <row r="68" spans="1:20" ht="28.5">
      <c r="A68" s="264">
        <v>9</v>
      </c>
      <c r="B68" s="265" t="s">
        <v>298</v>
      </c>
      <c r="C68" s="266"/>
      <c r="D68" s="266"/>
      <c r="E68" s="266"/>
      <c r="F68" s="266"/>
      <c r="G68" s="266"/>
      <c r="H68" s="46">
        <f t="shared" si="3"/>
        <v>0</v>
      </c>
      <c r="I68" s="267"/>
      <c r="J68" s="267"/>
      <c r="K68" s="267"/>
      <c r="L68" s="267"/>
      <c r="M68" s="267"/>
      <c r="N68" s="267"/>
      <c r="O68" s="267"/>
      <c r="P68" s="267"/>
      <c r="Q68" s="267"/>
      <c r="R68" s="267"/>
      <c r="S68" s="267"/>
      <c r="T68" s="35"/>
    </row>
    <row r="69" spans="1:20" ht="15">
      <c r="A69" s="264">
        <v>10</v>
      </c>
      <c r="B69" s="265" t="s">
        <v>295</v>
      </c>
      <c r="C69" s="266"/>
      <c r="D69" s="266"/>
      <c r="E69" s="266"/>
      <c r="F69" s="266"/>
      <c r="G69" s="266"/>
      <c r="H69" s="46">
        <f t="shared" si="3"/>
        <v>0</v>
      </c>
      <c r="I69" s="267"/>
      <c r="J69" s="267"/>
      <c r="K69" s="267"/>
      <c r="L69" s="267"/>
      <c r="M69" s="267"/>
      <c r="N69" s="267"/>
      <c r="O69" s="267"/>
      <c r="P69" s="267"/>
      <c r="Q69" s="267"/>
      <c r="R69" s="267"/>
      <c r="S69" s="267"/>
      <c r="T69" s="35"/>
    </row>
    <row r="70" spans="1:20" ht="15">
      <c r="A70" s="264">
        <v>11</v>
      </c>
      <c r="B70" s="268" t="s">
        <v>299</v>
      </c>
      <c r="C70" s="266"/>
      <c r="D70" s="266"/>
      <c r="E70" s="266"/>
      <c r="F70" s="266"/>
      <c r="G70" s="266"/>
      <c r="H70" s="46">
        <f t="shared" si="3"/>
        <v>0</v>
      </c>
      <c r="I70" s="267"/>
      <c r="J70" s="267"/>
      <c r="K70" s="267"/>
      <c r="L70" s="267"/>
      <c r="M70" s="267"/>
      <c r="N70" s="267"/>
      <c r="O70" s="267"/>
      <c r="P70" s="267"/>
      <c r="Q70" s="267"/>
      <c r="R70" s="267"/>
      <c r="S70" s="267"/>
      <c r="T70" s="35"/>
    </row>
    <row r="71" spans="1:20" ht="15">
      <c r="A71" s="264">
        <v>12</v>
      </c>
      <c r="B71" s="265" t="s">
        <v>296</v>
      </c>
      <c r="C71" s="266"/>
      <c r="D71" s="266"/>
      <c r="E71" s="266"/>
      <c r="F71" s="266"/>
      <c r="G71" s="266"/>
      <c r="H71" s="46">
        <f t="shared" si="3"/>
        <v>2369</v>
      </c>
      <c r="I71" s="267"/>
      <c r="J71" s="267">
        <v>109.96</v>
      </c>
      <c r="K71" s="267">
        <v>567.98</v>
      </c>
      <c r="L71" s="267">
        <v>298.64</v>
      </c>
      <c r="M71" s="267">
        <v>145.91999999999999</v>
      </c>
      <c r="N71" s="267">
        <v>102.11</v>
      </c>
      <c r="O71" s="267">
        <v>337.87</v>
      </c>
      <c r="P71" s="267">
        <v>427.67</v>
      </c>
      <c r="Q71" s="267">
        <v>99.9</v>
      </c>
      <c r="R71" s="267">
        <v>64.47</v>
      </c>
      <c r="S71" s="267">
        <v>214.48</v>
      </c>
      <c r="T71" s="35"/>
    </row>
    <row r="72" spans="1:20" ht="28.5">
      <c r="A72" s="44">
        <v>13</v>
      </c>
      <c r="B72" s="26" t="s">
        <v>297</v>
      </c>
      <c r="C72" s="39"/>
      <c r="D72" s="39"/>
      <c r="E72" s="39"/>
      <c r="F72" s="39"/>
      <c r="G72" s="39"/>
      <c r="H72" s="50">
        <f t="shared" si="3"/>
        <v>0</v>
      </c>
      <c r="I72" s="50"/>
      <c r="J72" s="50"/>
      <c r="K72" s="50"/>
      <c r="L72" s="50"/>
      <c r="M72" s="50"/>
      <c r="N72" s="50"/>
      <c r="O72" s="50"/>
      <c r="P72" s="50"/>
      <c r="Q72" s="50"/>
      <c r="R72" s="50"/>
      <c r="S72" s="50"/>
      <c r="T72" s="35"/>
    </row>
    <row r="73" spans="1:20" ht="23.25" customHeight="1">
      <c r="A73" s="728" t="s">
        <v>300</v>
      </c>
      <c r="B73" s="728"/>
      <c r="C73" s="728"/>
      <c r="D73" s="728"/>
      <c r="E73" s="728"/>
      <c r="F73" s="728"/>
      <c r="G73" s="728"/>
      <c r="H73" s="53"/>
      <c r="I73" s="53"/>
      <c r="J73" s="54"/>
      <c r="K73" s="53"/>
      <c r="L73" s="53"/>
      <c r="M73" s="53"/>
      <c r="N73" s="53"/>
      <c r="O73" s="53"/>
      <c r="P73" s="53"/>
      <c r="Q73" s="53"/>
      <c r="R73" s="53"/>
      <c r="S73" s="53"/>
    </row>
    <row r="74" spans="1:20" hidden="1">
      <c r="I74" s="99"/>
      <c r="J74" s="222">
        <f>'CÔng Tăng'!F25+'CÔng Tăng'!F26+'CÔng Tăng'!F30-'Cộng giảm'!F30+'CÔng Tăng'!F32+'CÔng Tăng'!F34-'Cộng giảm'!F34+'CÔng Tăng'!F35-'Cộng giảm'!F35+'CÔng Tăng'!F37+'CÔng Tăng'!F45+'CÔng Tăng'!F47+'CÔng Tăng'!F49-'Cộng giảm'!F49+'CÔng Tăng'!F51-'Cộng giảm'!F51</f>
        <v>12.540000000000001</v>
      </c>
      <c r="K74" s="222">
        <f>'CÔng Tăng'!G25+'CÔng Tăng'!G26+'CÔng Tăng'!G30-'Cộng giảm'!G30+'CÔng Tăng'!G32+'CÔng Tăng'!G34-'Cộng giảm'!G34+'CÔng Tăng'!G35-'Cộng giảm'!G35+'CÔng Tăng'!G37+'CÔng Tăng'!G45+'CÔng Tăng'!G47+'CÔng Tăng'!G49-'Cộng giảm'!G49+'CÔng Tăng'!G51-'Cộng giảm'!G51</f>
        <v>98.62</v>
      </c>
      <c r="L74" s="222">
        <f>'CÔng Tăng'!H25+'CÔng Tăng'!H26+'CÔng Tăng'!H30-'Cộng giảm'!H30+'CÔng Tăng'!H32+'CÔng Tăng'!H34-'Cộng giảm'!H34+'CÔng Tăng'!H35-'Cộng giảm'!H35+'CÔng Tăng'!H37+'CÔng Tăng'!H45+'CÔng Tăng'!H47+'CÔng Tăng'!H49-'Cộng giảm'!H49+'CÔng Tăng'!H51-'Cộng giảm'!H51</f>
        <v>24.2</v>
      </c>
      <c r="M74" s="222">
        <f>'CÔng Tăng'!I25+'CÔng Tăng'!I26+'CÔng Tăng'!I30-'Cộng giảm'!I30+'CÔng Tăng'!I32+'CÔng Tăng'!I34-'Cộng giảm'!I34+'CÔng Tăng'!I35-'Cộng giảm'!I35+'CÔng Tăng'!I37+'CÔng Tăng'!I45+'CÔng Tăng'!I47+'CÔng Tăng'!I49-'Cộng giảm'!I49+'CÔng Tăng'!I51-'Cộng giảm'!I51</f>
        <v>12.69</v>
      </c>
      <c r="N74" s="222">
        <f>'CÔng Tăng'!J25+'CÔng Tăng'!J26+'CÔng Tăng'!J30-'Cộng giảm'!J30+'CÔng Tăng'!J32+'CÔng Tăng'!J34-'Cộng giảm'!J34+'CÔng Tăng'!J35-'Cộng giảm'!J35+'CÔng Tăng'!J37+'CÔng Tăng'!J45+'CÔng Tăng'!J47+'CÔng Tăng'!J49-'Cộng giảm'!J49+'CÔng Tăng'!J51-'Cộng giảm'!J51</f>
        <v>3</v>
      </c>
      <c r="O74" s="222">
        <f>'CÔng Tăng'!K25+'CÔng Tăng'!K26+'CÔng Tăng'!K30-'Cộng giảm'!K30+'CÔng Tăng'!K32+'CÔng Tăng'!K34-'Cộng giảm'!K34+'CÔng Tăng'!K35-'Cộng giảm'!K35+'CÔng Tăng'!K37+'CÔng Tăng'!K45+'CÔng Tăng'!K47+'CÔng Tăng'!K49-'Cộng giảm'!K49+'CÔng Tăng'!K51-'Cộng giảm'!K51</f>
        <v>4</v>
      </c>
      <c r="P74" s="222">
        <f>'CÔng Tăng'!L25+'CÔng Tăng'!L26+'CÔng Tăng'!L30-'Cộng giảm'!L30+'CÔng Tăng'!L32+'CÔng Tăng'!L34-'Cộng giảm'!L34+'CÔng Tăng'!L35-'Cộng giảm'!L35+'CÔng Tăng'!L37+'CÔng Tăng'!L45+'CÔng Tăng'!L47+'CÔng Tăng'!L49-'Cộng giảm'!L49+'CÔng Tăng'!L51-'Cộng giảm'!L51</f>
        <v>3</v>
      </c>
      <c r="Q74" s="222">
        <f>'CÔng Tăng'!M25+'CÔng Tăng'!M26+'CÔng Tăng'!M30-'Cộng giảm'!M30+'CÔng Tăng'!M32+'CÔng Tăng'!M34-'Cộng giảm'!M34+'CÔng Tăng'!M35-'Cộng giảm'!M35+'CÔng Tăng'!M37+'CÔng Tăng'!M45+'CÔng Tăng'!M47+'CÔng Tăng'!M49-'Cộng giảm'!M49+'CÔng Tăng'!M51-'Cộng giảm'!M51</f>
        <v>2.6500000000000004</v>
      </c>
      <c r="R74" s="222">
        <f>'CÔng Tăng'!N25+'CÔng Tăng'!N26+'CÔng Tăng'!N30-'Cộng giảm'!N30+'CÔng Tăng'!N32+'CÔng Tăng'!N34-'Cộng giảm'!N34+'CÔng Tăng'!N35-'Cộng giảm'!N35+'CÔng Tăng'!N37+'CÔng Tăng'!N45+'CÔng Tăng'!N47+'CÔng Tăng'!N49-'Cộng giảm'!N49+'CÔng Tăng'!N51-'Cộng giảm'!N51</f>
        <v>60.040000000000006</v>
      </c>
      <c r="S74" s="222">
        <f>'CÔng Tăng'!O25+'CÔng Tăng'!O26+'CÔng Tăng'!O30-'Cộng giảm'!O30+'CÔng Tăng'!O32+'CÔng Tăng'!O34-'Cộng giảm'!O34+'CÔng Tăng'!O35-'Cộng giảm'!O35+'CÔng Tăng'!O37+'CÔng Tăng'!O45+'CÔng Tăng'!O47+'CÔng Tăng'!O49-'Cộng giảm'!O49+'CÔng Tăng'!O51-'Cộng giảm'!O51</f>
        <v>6.9</v>
      </c>
    </row>
    <row r="75" spans="1:20" hidden="1">
      <c r="I75" s="99"/>
      <c r="J75" s="87"/>
    </row>
    <row r="76" spans="1:20" hidden="1">
      <c r="J76" s="87">
        <v>110.47999999999999</v>
      </c>
      <c r="K76" s="87">
        <v>568.05000000000007</v>
      </c>
      <c r="L76" s="87">
        <v>298.99</v>
      </c>
      <c r="M76" s="87">
        <v>146.35999999999999</v>
      </c>
      <c r="N76" s="87">
        <v>106.33</v>
      </c>
      <c r="O76" s="87">
        <v>338.22</v>
      </c>
      <c r="P76" s="87">
        <v>477.77000000000004</v>
      </c>
      <c r="Q76" s="87">
        <v>100.54</v>
      </c>
      <c r="R76" s="87">
        <v>64.47</v>
      </c>
      <c r="S76" s="87">
        <v>214.48</v>
      </c>
    </row>
    <row r="77" spans="1:20">
      <c r="J77" s="87"/>
    </row>
    <row r="80" spans="1:20">
      <c r="I80" s="99"/>
      <c r="J80" s="99"/>
      <c r="K80" s="99"/>
      <c r="L80" s="99"/>
      <c r="M80" s="99"/>
      <c r="N80" s="99"/>
      <c r="O80" s="99"/>
      <c r="P80" s="99"/>
      <c r="Q80" s="99"/>
      <c r="R80" s="99"/>
      <c r="S80" s="99"/>
    </row>
  </sheetData>
  <mergeCells count="11">
    <mergeCell ref="A73:G73"/>
    <mergeCell ref="A1:S1"/>
    <mergeCell ref="A2:S2"/>
    <mergeCell ref="B3:S3"/>
    <mergeCell ref="A4:A5"/>
    <mergeCell ref="B4:B5"/>
    <mergeCell ref="C4:C5"/>
    <mergeCell ref="H4:H5"/>
    <mergeCell ref="I4:S4"/>
    <mergeCell ref="F4:F5"/>
    <mergeCell ref="G4:G5"/>
  </mergeCells>
  <phoneticPr fontId="11" type="noConversion"/>
  <pageMargins left="0.64" right="0.2" top="0.61" bottom="0.25" header="0.24" footer="0.2"/>
  <pageSetup paperSize="8" fitToWidth="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78" zoomScaleNormal="78" workbookViewId="0">
      <selection activeCell="D10" sqref="D10:O20"/>
    </sheetView>
  </sheetViews>
  <sheetFormatPr defaultRowHeight="20.25" customHeight="1"/>
  <cols>
    <col min="1" max="1" width="6.85546875" customWidth="1"/>
    <col min="2" max="2" width="58.28515625" customWidth="1"/>
    <col min="3" max="3" width="14.42578125" style="1" customWidth="1"/>
    <col min="4" max="5" width="11.140625" customWidth="1"/>
    <col min="6" max="6" width="12.28515625" customWidth="1"/>
    <col min="7" max="7" width="11.7109375" customWidth="1"/>
    <col min="8" max="8" width="12.140625" customWidth="1"/>
    <col min="9" max="9" width="12" customWidth="1"/>
    <col min="10" max="10" width="13.140625" customWidth="1"/>
    <col min="11" max="11" width="12.85546875" customWidth="1"/>
    <col min="12" max="12" width="11" customWidth="1"/>
    <col min="13" max="13" width="11.5703125" customWidth="1"/>
    <col min="14" max="14" width="9.7109375" customWidth="1"/>
    <col min="15" max="15" width="10.140625" customWidth="1"/>
  </cols>
  <sheetData>
    <row r="1" spans="1:15" ht="20.25" customHeight="1">
      <c r="A1" s="739" t="s">
        <v>464</v>
      </c>
      <c r="B1" s="739"/>
      <c r="C1" s="449"/>
      <c r="D1" s="30"/>
      <c r="E1" s="30"/>
      <c r="F1" s="30"/>
      <c r="G1" s="30"/>
      <c r="H1" s="30"/>
      <c r="I1" s="30"/>
      <c r="J1" s="30"/>
      <c r="K1" s="30"/>
      <c r="L1" s="30"/>
      <c r="M1" s="30"/>
      <c r="N1" s="30"/>
      <c r="O1" s="30"/>
    </row>
    <row r="2" spans="1:15" ht="20.25" customHeight="1">
      <c r="A2" s="738" t="s">
        <v>465</v>
      </c>
      <c r="B2" s="738"/>
      <c r="C2" s="738"/>
      <c r="D2" s="738"/>
      <c r="E2" s="738"/>
      <c r="F2" s="738"/>
      <c r="G2" s="738"/>
      <c r="H2" s="738"/>
      <c r="I2" s="738"/>
      <c r="J2" s="738"/>
      <c r="K2" s="738"/>
      <c r="L2" s="738"/>
      <c r="M2" s="738"/>
      <c r="N2" s="738"/>
      <c r="O2" s="738"/>
    </row>
    <row r="3" spans="1:15" ht="20.25" customHeight="1">
      <c r="A3" s="738"/>
      <c r="B3" s="738"/>
      <c r="C3" s="738"/>
      <c r="D3" s="738"/>
      <c r="E3" s="738"/>
      <c r="F3" s="738"/>
      <c r="G3" s="738"/>
      <c r="H3" s="738"/>
      <c r="I3" s="738"/>
      <c r="J3" s="738"/>
      <c r="K3" s="738"/>
      <c r="L3" s="738"/>
      <c r="M3" s="738"/>
      <c r="N3" s="738"/>
      <c r="O3" s="738"/>
    </row>
    <row r="4" spans="1:15" ht="3.75" customHeight="1">
      <c r="A4" s="738"/>
      <c r="B4" s="738"/>
      <c r="C4" s="738"/>
      <c r="D4" s="738"/>
      <c r="E4" s="738"/>
      <c r="F4" s="738"/>
      <c r="G4" s="738"/>
      <c r="H4" s="738"/>
      <c r="I4" s="738"/>
      <c r="J4" s="738"/>
      <c r="K4" s="738"/>
      <c r="L4" s="738"/>
      <c r="M4" s="738"/>
      <c r="N4" s="738"/>
      <c r="O4" s="738"/>
    </row>
    <row r="5" spans="1:15" ht="20.25" customHeight="1">
      <c r="A5" s="737" t="s">
        <v>0</v>
      </c>
      <c r="B5" s="737"/>
      <c r="C5" s="737"/>
      <c r="D5" s="737"/>
      <c r="E5" s="737"/>
      <c r="F5" s="737"/>
      <c r="G5" s="737"/>
      <c r="H5" s="737"/>
      <c r="I5" s="737"/>
      <c r="J5" s="737"/>
      <c r="K5" s="737"/>
      <c r="L5" s="737"/>
      <c r="M5" s="737"/>
      <c r="N5" s="737"/>
      <c r="O5" s="737"/>
    </row>
    <row r="6" spans="1:15" ht="20.25" customHeight="1">
      <c r="A6" s="714" t="s">
        <v>1</v>
      </c>
      <c r="B6" s="714" t="s">
        <v>2</v>
      </c>
      <c r="C6" s="714" t="s">
        <v>3</v>
      </c>
      <c r="D6" s="714" t="s">
        <v>4</v>
      </c>
      <c r="E6" s="714" t="s">
        <v>5</v>
      </c>
      <c r="F6" s="714"/>
      <c r="G6" s="714"/>
      <c r="H6" s="714"/>
      <c r="I6" s="714"/>
      <c r="J6" s="714"/>
      <c r="K6" s="714"/>
      <c r="L6" s="714"/>
      <c r="M6" s="714"/>
      <c r="N6" s="714"/>
      <c r="O6" s="714"/>
    </row>
    <row r="7" spans="1:15" ht="20.25" customHeight="1">
      <c r="A7" s="714"/>
      <c r="B7" s="714"/>
      <c r="C7" s="714"/>
      <c r="D7" s="714"/>
      <c r="E7" s="714"/>
      <c r="F7" s="714"/>
      <c r="G7" s="714"/>
      <c r="H7" s="714"/>
      <c r="I7" s="714"/>
      <c r="J7" s="714"/>
      <c r="K7" s="714"/>
      <c r="L7" s="714"/>
      <c r="M7" s="714"/>
      <c r="N7" s="714"/>
      <c r="O7" s="714"/>
    </row>
    <row r="8" spans="1:15" ht="33.75" customHeight="1">
      <c r="A8" s="714"/>
      <c r="B8" s="714"/>
      <c r="C8" s="714"/>
      <c r="D8" s="714"/>
      <c r="E8" s="274" t="s">
        <v>111</v>
      </c>
      <c r="F8" s="274" t="s">
        <v>190</v>
      </c>
      <c r="G8" s="274" t="s">
        <v>169</v>
      </c>
      <c r="H8" s="274" t="s">
        <v>170</v>
      </c>
      <c r="I8" s="274" t="s">
        <v>172</v>
      </c>
      <c r="J8" s="274" t="s">
        <v>198</v>
      </c>
      <c r="K8" s="274" t="s">
        <v>197</v>
      </c>
      <c r="L8" s="274" t="s">
        <v>191</v>
      </c>
      <c r="M8" s="274" t="s">
        <v>189</v>
      </c>
      <c r="N8" s="274" t="s">
        <v>174</v>
      </c>
      <c r="O8" s="274" t="s">
        <v>173</v>
      </c>
    </row>
    <row r="9" spans="1:15" s="42" customFormat="1" ht="32.25" customHeight="1">
      <c r="A9" s="55">
        <v>-1</v>
      </c>
      <c r="B9" s="55">
        <v>-2</v>
      </c>
      <c r="C9" s="55">
        <v>-3</v>
      </c>
      <c r="D9" s="55" t="s">
        <v>135</v>
      </c>
      <c r="E9" s="55">
        <v>-5</v>
      </c>
      <c r="F9" s="55">
        <v>-6</v>
      </c>
      <c r="G9" s="55">
        <v>-7</v>
      </c>
      <c r="H9" s="55">
        <v>-8</v>
      </c>
      <c r="I9" s="55">
        <v>-9</v>
      </c>
      <c r="J9" s="55">
        <v>-10</v>
      </c>
      <c r="K9" s="55">
        <v>-11</v>
      </c>
      <c r="L9" s="55">
        <v>-12</v>
      </c>
      <c r="M9" s="55">
        <v>-13</v>
      </c>
      <c r="N9" s="55">
        <v>-14</v>
      </c>
      <c r="O9" s="55">
        <v>-15</v>
      </c>
    </row>
    <row r="10" spans="1:15" s="10" customFormat="1" ht="20.25" customHeight="1">
      <c r="A10" s="56">
        <v>1</v>
      </c>
      <c r="B10" s="57" t="s">
        <v>81</v>
      </c>
      <c r="C10" s="56" t="s">
        <v>82</v>
      </c>
      <c r="D10" s="58">
        <f>SUM(E10:O10)</f>
        <v>451.03</v>
      </c>
      <c r="E10" s="58">
        <f>E12+SUM(E14:E18)</f>
        <v>83.59</v>
      </c>
      <c r="F10" s="58">
        <f t="shared" ref="F10:O10" si="0">F12+SUM(F14:F18)</f>
        <v>13.2</v>
      </c>
      <c r="G10" s="58">
        <f t="shared" si="0"/>
        <v>112.88999999999999</v>
      </c>
      <c r="H10" s="58">
        <f t="shared" si="0"/>
        <v>62.870000000000005</v>
      </c>
      <c r="I10" s="58">
        <f t="shared" si="0"/>
        <v>19.760000000000002</v>
      </c>
      <c r="J10" s="58">
        <f t="shared" si="0"/>
        <v>5.95</v>
      </c>
      <c r="K10" s="58">
        <f t="shared" si="0"/>
        <v>21.1</v>
      </c>
      <c r="L10" s="58">
        <f t="shared" si="0"/>
        <v>11.9</v>
      </c>
      <c r="M10" s="58">
        <f t="shared" si="0"/>
        <v>5.04</v>
      </c>
      <c r="N10" s="58">
        <f t="shared" si="0"/>
        <v>106.71000000000001</v>
      </c>
      <c r="O10" s="58">
        <f t="shared" si="0"/>
        <v>8.02</v>
      </c>
    </row>
    <row r="11" spans="1:15" ht="20.25" customHeight="1">
      <c r="A11" s="59"/>
      <c r="B11" s="60" t="s">
        <v>94</v>
      </c>
      <c r="C11" s="59"/>
      <c r="D11" s="61"/>
      <c r="E11" s="61"/>
      <c r="F11" s="61"/>
      <c r="G11" s="61"/>
      <c r="H11" s="61"/>
      <c r="I11" s="62"/>
      <c r="J11" s="62"/>
      <c r="K11" s="62"/>
      <c r="L11" s="62"/>
      <c r="M11" s="62"/>
      <c r="N11" s="62"/>
      <c r="O11" s="62"/>
    </row>
    <row r="12" spans="1:15" ht="20.25" customHeight="1">
      <c r="A12" s="59" t="s">
        <v>139</v>
      </c>
      <c r="B12" s="63" t="s">
        <v>8</v>
      </c>
      <c r="C12" s="64" t="s">
        <v>83</v>
      </c>
      <c r="D12" s="61">
        <f>SUM(E12:O12)</f>
        <v>9</v>
      </c>
      <c r="E12" s="61">
        <v>3</v>
      </c>
      <c r="F12" s="61"/>
      <c r="G12" s="61"/>
      <c r="H12" s="62">
        <v>0.5</v>
      </c>
      <c r="I12" s="62"/>
      <c r="J12" s="62">
        <v>0.5</v>
      </c>
      <c r="K12" s="62">
        <v>3.5</v>
      </c>
      <c r="L12" s="62"/>
      <c r="M12" s="62"/>
      <c r="N12" s="62">
        <v>1.5</v>
      </c>
      <c r="O12" s="62"/>
    </row>
    <row r="13" spans="1:15" ht="20.25" customHeight="1">
      <c r="A13" s="59"/>
      <c r="B13" s="60" t="s">
        <v>10</v>
      </c>
      <c r="C13" s="59" t="s">
        <v>84</v>
      </c>
      <c r="D13" s="61">
        <f t="shared" ref="D13:D35" si="1">SUM(E13:O13)</f>
        <v>4.7</v>
      </c>
      <c r="E13" s="61">
        <v>2.2000000000000002</v>
      </c>
      <c r="F13" s="61"/>
      <c r="G13" s="61"/>
      <c r="H13" s="62">
        <v>0.5</v>
      </c>
      <c r="I13" s="62"/>
      <c r="J13" s="62"/>
      <c r="K13" s="62">
        <v>2</v>
      </c>
      <c r="L13" s="62"/>
      <c r="M13" s="62"/>
      <c r="N13" s="62"/>
      <c r="O13" s="62"/>
    </row>
    <row r="14" spans="1:15" ht="20.25" customHeight="1">
      <c r="A14" s="59" t="s">
        <v>140</v>
      </c>
      <c r="B14" s="60" t="s">
        <v>12</v>
      </c>
      <c r="C14" s="59" t="s">
        <v>85</v>
      </c>
      <c r="D14" s="61">
        <f t="shared" si="1"/>
        <v>187.17000000000002</v>
      </c>
      <c r="E14" s="61">
        <v>22.08</v>
      </c>
      <c r="F14" s="61">
        <f>5.5+1.2</f>
        <v>6.7</v>
      </c>
      <c r="G14" s="61">
        <v>63.46</v>
      </c>
      <c r="H14" s="61">
        <v>17.37</v>
      </c>
      <c r="I14" s="62">
        <v>9.3000000000000007</v>
      </c>
      <c r="J14" s="62">
        <v>2.95</v>
      </c>
      <c r="K14" s="62">
        <v>8.6</v>
      </c>
      <c r="L14" s="62">
        <v>9.9</v>
      </c>
      <c r="M14" s="62">
        <f>3.29+0.05</f>
        <v>3.34</v>
      </c>
      <c r="N14" s="62">
        <f>19.4+20</f>
        <v>39.4</v>
      </c>
      <c r="O14" s="62">
        <v>4.07</v>
      </c>
    </row>
    <row r="15" spans="1:15" ht="20.25" customHeight="1">
      <c r="A15" s="59" t="s">
        <v>141</v>
      </c>
      <c r="B15" s="60" t="s">
        <v>14</v>
      </c>
      <c r="C15" s="59" t="s">
        <v>86</v>
      </c>
      <c r="D15" s="61">
        <f t="shared" si="1"/>
        <v>165.45</v>
      </c>
      <c r="E15" s="61">
        <v>56.51</v>
      </c>
      <c r="F15" s="61">
        <f>4.7+1.8</f>
        <v>6.5</v>
      </c>
      <c r="G15" s="61">
        <v>38.33</v>
      </c>
      <c r="H15" s="61">
        <v>23</v>
      </c>
      <c r="I15" s="62">
        <v>10.46</v>
      </c>
      <c r="J15" s="62">
        <v>2.5</v>
      </c>
      <c r="K15" s="62">
        <v>9</v>
      </c>
      <c r="L15" s="62">
        <v>2</v>
      </c>
      <c r="M15" s="62">
        <v>1.7</v>
      </c>
      <c r="N15" s="62">
        <v>11.5</v>
      </c>
      <c r="O15" s="62">
        <v>3.95</v>
      </c>
    </row>
    <row r="16" spans="1:15" ht="20.25" customHeight="1">
      <c r="A16" s="59" t="s">
        <v>142</v>
      </c>
      <c r="B16" s="60" t="s">
        <v>16</v>
      </c>
      <c r="C16" s="59" t="s">
        <v>87</v>
      </c>
      <c r="D16" s="61">
        <f t="shared" si="1"/>
        <v>37.36</v>
      </c>
      <c r="E16" s="61"/>
      <c r="F16" s="61"/>
      <c r="G16" s="61">
        <v>0.05</v>
      </c>
      <c r="H16" s="61"/>
      <c r="I16" s="62"/>
      <c r="J16" s="62"/>
      <c r="K16" s="62"/>
      <c r="L16" s="62"/>
      <c r="M16" s="62"/>
      <c r="N16" s="62">
        <v>37.31</v>
      </c>
      <c r="O16" s="62"/>
    </row>
    <row r="17" spans="1:15" ht="20.25" customHeight="1">
      <c r="A17" s="59" t="s">
        <v>143</v>
      </c>
      <c r="B17" s="60" t="s">
        <v>18</v>
      </c>
      <c r="C17" s="59" t="s">
        <v>88</v>
      </c>
      <c r="D17" s="61">
        <f t="shared" si="1"/>
        <v>22</v>
      </c>
      <c r="E17" s="61"/>
      <c r="F17" s="61"/>
      <c r="G17" s="61"/>
      <c r="H17" s="61">
        <v>22</v>
      </c>
      <c r="I17" s="61"/>
      <c r="J17" s="61"/>
      <c r="K17" s="61"/>
      <c r="L17" s="61"/>
      <c r="M17" s="61"/>
      <c r="N17" s="61"/>
      <c r="O17" s="61"/>
    </row>
    <row r="18" spans="1:15" ht="20.25" customHeight="1">
      <c r="A18" s="59" t="s">
        <v>144</v>
      </c>
      <c r="B18" s="60" t="s">
        <v>20</v>
      </c>
      <c r="C18" s="59" t="s">
        <v>89</v>
      </c>
      <c r="D18" s="61">
        <f t="shared" si="1"/>
        <v>30.05</v>
      </c>
      <c r="E18" s="61">
        <v>2</v>
      </c>
      <c r="F18" s="61"/>
      <c r="G18" s="61">
        <v>11.05</v>
      </c>
      <c r="H18" s="61"/>
      <c r="I18" s="62"/>
      <c r="J18" s="62"/>
      <c r="K18" s="62"/>
      <c r="L18" s="62"/>
      <c r="M18" s="62"/>
      <c r="N18" s="62">
        <v>17</v>
      </c>
      <c r="O18" s="62"/>
    </row>
    <row r="19" spans="1:15" s="119" customFormat="1" ht="20.25" customHeight="1">
      <c r="A19" s="64"/>
      <c r="B19" s="63" t="s">
        <v>277</v>
      </c>
      <c r="C19" s="64" t="s">
        <v>301</v>
      </c>
      <c r="D19" s="61">
        <f t="shared" si="1"/>
        <v>0</v>
      </c>
      <c r="E19" s="278"/>
      <c r="F19" s="278"/>
      <c r="G19" s="278"/>
      <c r="H19" s="278"/>
      <c r="I19" s="279"/>
      <c r="J19" s="279"/>
      <c r="K19" s="279"/>
      <c r="L19" s="279"/>
      <c r="M19" s="279"/>
      <c r="N19" s="279"/>
      <c r="O19" s="279"/>
    </row>
    <row r="20" spans="1:15" ht="20.25" customHeight="1">
      <c r="A20" s="59" t="s">
        <v>145</v>
      </c>
      <c r="B20" s="60" t="s">
        <v>22</v>
      </c>
      <c r="C20" s="59" t="s">
        <v>90</v>
      </c>
      <c r="D20" s="61">
        <f t="shared" si="1"/>
        <v>0.30000000000000004</v>
      </c>
      <c r="E20" s="61">
        <v>0.2</v>
      </c>
      <c r="F20" s="61"/>
      <c r="G20" s="61">
        <v>0.1</v>
      </c>
      <c r="H20" s="61"/>
      <c r="I20" s="62"/>
      <c r="J20" s="62"/>
      <c r="K20" s="62"/>
      <c r="L20" s="62"/>
      <c r="M20" s="62"/>
      <c r="N20" s="62"/>
      <c r="O20" s="62"/>
    </row>
    <row r="21" spans="1:15" s="145" customFormat="1" ht="15.75">
      <c r="A21" s="59" t="s">
        <v>146</v>
      </c>
      <c r="B21" s="60" t="s">
        <v>24</v>
      </c>
      <c r="C21" s="59" t="s">
        <v>91</v>
      </c>
      <c r="D21" s="61">
        <f t="shared" si="1"/>
        <v>0</v>
      </c>
      <c r="E21" s="61"/>
      <c r="F21" s="61"/>
      <c r="G21" s="61"/>
      <c r="H21" s="61"/>
      <c r="I21" s="61"/>
      <c r="J21" s="61"/>
      <c r="K21" s="61"/>
      <c r="L21" s="61"/>
      <c r="M21" s="61"/>
      <c r="N21" s="61"/>
      <c r="O21" s="61"/>
    </row>
    <row r="22" spans="1:15" s="145" customFormat="1" ht="20.25" customHeight="1">
      <c r="A22" s="59" t="s">
        <v>147</v>
      </c>
      <c r="B22" s="60" t="s">
        <v>26</v>
      </c>
      <c r="C22" s="59" t="s">
        <v>92</v>
      </c>
      <c r="D22" s="61">
        <f t="shared" si="1"/>
        <v>0</v>
      </c>
      <c r="E22" s="61"/>
      <c r="F22" s="61"/>
      <c r="G22" s="61"/>
      <c r="H22" s="61"/>
      <c r="I22" s="62"/>
      <c r="J22" s="62"/>
      <c r="K22" s="62"/>
      <c r="L22" s="62"/>
      <c r="M22" s="62"/>
      <c r="N22" s="62"/>
      <c r="O22" s="62"/>
    </row>
    <row r="23" spans="1:15" s="10" customFormat="1" ht="20.25" customHeight="1">
      <c r="A23" s="65">
        <v>2</v>
      </c>
      <c r="B23" s="66" t="s">
        <v>93</v>
      </c>
      <c r="C23" s="65"/>
      <c r="D23" s="67">
        <f>SUM(E23:O23)</f>
        <v>3.0300000000000002</v>
      </c>
      <c r="E23" s="67">
        <f>SUM(E25:E34)</f>
        <v>0.51</v>
      </c>
      <c r="F23" s="67">
        <f t="shared" ref="F23:O23" si="2">SUM(F25:F34)</f>
        <v>0.51</v>
      </c>
      <c r="G23" s="67">
        <f t="shared" si="2"/>
        <v>0</v>
      </c>
      <c r="H23" s="67">
        <f t="shared" si="2"/>
        <v>0.51</v>
      </c>
      <c r="I23" s="67">
        <f t="shared" si="2"/>
        <v>0</v>
      </c>
      <c r="J23" s="67">
        <f t="shared" si="2"/>
        <v>0</v>
      </c>
      <c r="K23" s="67">
        <f t="shared" si="2"/>
        <v>0</v>
      </c>
      <c r="L23" s="67">
        <f t="shared" si="2"/>
        <v>0.5</v>
      </c>
      <c r="M23" s="67">
        <f t="shared" si="2"/>
        <v>0</v>
      </c>
      <c r="N23" s="67">
        <f t="shared" si="2"/>
        <v>0</v>
      </c>
      <c r="O23" s="67">
        <f t="shared" si="2"/>
        <v>1</v>
      </c>
    </row>
    <row r="24" spans="1:15" ht="20.25" customHeight="1">
      <c r="A24" s="59"/>
      <c r="B24" s="60" t="s">
        <v>94</v>
      </c>
      <c r="C24" s="59"/>
      <c r="D24" s="61">
        <f t="shared" si="1"/>
        <v>0</v>
      </c>
      <c r="E24" s="61"/>
      <c r="F24" s="61"/>
      <c r="G24" s="61"/>
      <c r="H24" s="61"/>
      <c r="I24" s="62"/>
      <c r="J24" s="62"/>
      <c r="K24" s="62"/>
      <c r="L24" s="62"/>
      <c r="M24" s="62"/>
      <c r="N24" s="62"/>
      <c r="O24" s="62"/>
    </row>
    <row r="25" spans="1:15" ht="20.25" customHeight="1">
      <c r="A25" s="59" t="s">
        <v>148</v>
      </c>
      <c r="B25" s="60" t="s">
        <v>95</v>
      </c>
      <c r="C25" s="59" t="s">
        <v>96</v>
      </c>
      <c r="D25" s="61">
        <f t="shared" si="1"/>
        <v>0</v>
      </c>
      <c r="E25" s="61"/>
      <c r="F25" s="61"/>
      <c r="G25" s="61"/>
      <c r="H25" s="61"/>
      <c r="I25" s="62"/>
      <c r="J25" s="62"/>
      <c r="K25" s="62"/>
      <c r="L25" s="62"/>
      <c r="M25" s="62"/>
      <c r="N25" s="62"/>
      <c r="O25" s="62"/>
    </row>
    <row r="26" spans="1:15" ht="20.25" customHeight="1">
      <c r="A26" s="59" t="s">
        <v>138</v>
      </c>
      <c r="B26" s="60" t="s">
        <v>175</v>
      </c>
      <c r="C26" s="59" t="s">
        <v>176</v>
      </c>
      <c r="D26" s="61">
        <f t="shared" si="1"/>
        <v>0</v>
      </c>
      <c r="E26" s="61"/>
      <c r="F26" s="61"/>
      <c r="G26" s="61"/>
      <c r="H26" s="61"/>
      <c r="I26" s="62"/>
      <c r="J26" s="62"/>
      <c r="K26" s="62"/>
      <c r="L26" s="62"/>
      <c r="M26" s="62"/>
      <c r="N26" s="62"/>
      <c r="O26" s="62"/>
    </row>
    <row r="27" spans="1:15" ht="33.75" customHeight="1">
      <c r="A27" s="59" t="s">
        <v>149</v>
      </c>
      <c r="B27" s="60" t="s">
        <v>97</v>
      </c>
      <c r="C27" s="59" t="s">
        <v>98</v>
      </c>
      <c r="D27" s="61">
        <f t="shared" si="1"/>
        <v>0</v>
      </c>
      <c r="E27" s="61"/>
      <c r="F27" s="61"/>
      <c r="G27" s="61"/>
      <c r="H27" s="61"/>
      <c r="I27" s="62"/>
      <c r="J27" s="62"/>
      <c r="K27" s="62"/>
      <c r="L27" s="62"/>
      <c r="M27" s="62"/>
      <c r="N27" s="62"/>
      <c r="O27" s="62"/>
    </row>
    <row r="28" spans="1:15" ht="20.25" customHeight="1">
      <c r="A28" s="59" t="s">
        <v>150</v>
      </c>
      <c r="B28" s="60" t="s">
        <v>99</v>
      </c>
      <c r="C28" s="59" t="s">
        <v>100</v>
      </c>
      <c r="D28" s="61">
        <f t="shared" si="1"/>
        <v>0</v>
      </c>
      <c r="E28" s="61"/>
      <c r="F28" s="61"/>
      <c r="G28" s="61"/>
      <c r="H28" s="61"/>
      <c r="I28" s="62"/>
      <c r="J28" s="62"/>
      <c r="K28" s="62"/>
      <c r="L28" s="62"/>
      <c r="M28" s="62"/>
      <c r="N28" s="62"/>
      <c r="O28" s="62"/>
    </row>
    <row r="29" spans="1:15" ht="31.5">
      <c r="A29" s="59" t="s">
        <v>151</v>
      </c>
      <c r="B29" s="60" t="s">
        <v>101</v>
      </c>
      <c r="C29" s="59" t="s">
        <v>102</v>
      </c>
      <c r="D29" s="61">
        <f t="shared" si="1"/>
        <v>3.0300000000000002</v>
      </c>
      <c r="E29" s="61">
        <v>0.51</v>
      </c>
      <c r="F29" s="61">
        <v>0.51</v>
      </c>
      <c r="G29" s="61"/>
      <c r="H29" s="61">
        <v>0.51</v>
      </c>
      <c r="I29" s="62"/>
      <c r="J29" s="62"/>
      <c r="K29" s="62"/>
      <c r="L29" s="62">
        <v>0.5</v>
      </c>
      <c r="M29" s="62"/>
      <c r="N29" s="62"/>
      <c r="O29" s="62">
        <v>1</v>
      </c>
    </row>
    <row r="30" spans="1:15" ht="15.75">
      <c r="A30" s="59" t="s">
        <v>152</v>
      </c>
      <c r="B30" s="60" t="s">
        <v>136</v>
      </c>
      <c r="C30" s="59" t="s">
        <v>103</v>
      </c>
      <c r="D30" s="61">
        <f t="shared" si="1"/>
        <v>0</v>
      </c>
      <c r="E30" s="61"/>
      <c r="F30" s="61"/>
      <c r="G30" s="61"/>
      <c r="H30" s="61"/>
      <c r="I30" s="62"/>
      <c r="J30" s="62"/>
      <c r="K30" s="62"/>
      <c r="L30" s="62"/>
      <c r="M30" s="62"/>
      <c r="N30" s="62"/>
      <c r="O30" s="62"/>
    </row>
    <row r="31" spans="1:15" ht="31.5">
      <c r="A31" s="59" t="s">
        <v>153</v>
      </c>
      <c r="B31" s="60" t="s">
        <v>104</v>
      </c>
      <c r="C31" s="59" t="s">
        <v>105</v>
      </c>
      <c r="D31" s="61">
        <f t="shared" si="1"/>
        <v>0</v>
      </c>
      <c r="E31" s="61"/>
      <c r="F31" s="61"/>
      <c r="G31" s="61"/>
      <c r="H31" s="61"/>
      <c r="I31" s="62"/>
      <c r="J31" s="62"/>
      <c r="K31" s="62"/>
      <c r="L31" s="62"/>
      <c r="M31" s="62"/>
      <c r="N31" s="62"/>
      <c r="O31" s="62"/>
    </row>
    <row r="32" spans="1:15" ht="31.5">
      <c r="A32" s="270" t="s">
        <v>154</v>
      </c>
      <c r="B32" s="271" t="s">
        <v>177</v>
      </c>
      <c r="C32" s="270" t="s">
        <v>178</v>
      </c>
      <c r="D32" s="61">
        <f t="shared" si="1"/>
        <v>0</v>
      </c>
      <c r="E32" s="272"/>
      <c r="F32" s="272"/>
      <c r="G32" s="272"/>
      <c r="H32" s="272"/>
      <c r="I32" s="273"/>
      <c r="J32" s="273"/>
      <c r="K32" s="273"/>
      <c r="L32" s="273"/>
      <c r="M32" s="273"/>
      <c r="N32" s="273"/>
      <c r="O32" s="273"/>
    </row>
    <row r="33" spans="1:15" ht="20.25" customHeight="1">
      <c r="A33" s="275" t="s">
        <v>155</v>
      </c>
      <c r="B33" s="275" t="s">
        <v>201</v>
      </c>
      <c r="C33" s="450" t="s">
        <v>302</v>
      </c>
      <c r="D33" s="61">
        <f t="shared" si="1"/>
        <v>0</v>
      </c>
      <c r="E33" s="275"/>
      <c r="F33" s="436"/>
      <c r="G33" s="275"/>
      <c r="H33" s="275"/>
      <c r="I33" s="275"/>
      <c r="J33" s="275"/>
      <c r="K33" s="275"/>
      <c r="L33" s="275"/>
      <c r="M33" s="275"/>
      <c r="N33" s="275"/>
      <c r="O33" s="275"/>
    </row>
    <row r="34" spans="1:15" ht="20.25" customHeight="1">
      <c r="A34" s="275"/>
      <c r="B34" s="275" t="s">
        <v>277</v>
      </c>
      <c r="C34" s="450" t="s">
        <v>303</v>
      </c>
      <c r="D34" s="61">
        <f t="shared" si="1"/>
        <v>0</v>
      </c>
      <c r="E34" s="275"/>
      <c r="F34" s="275"/>
      <c r="G34" s="275"/>
      <c r="H34" s="275"/>
      <c r="I34" s="275"/>
      <c r="J34" s="275"/>
      <c r="K34" s="275"/>
      <c r="L34" s="275"/>
      <c r="M34" s="275"/>
      <c r="N34" s="275"/>
      <c r="O34" s="275"/>
    </row>
    <row r="35" spans="1:15" s="10" customFormat="1" ht="20.25" customHeight="1">
      <c r="A35" s="277">
        <v>3</v>
      </c>
      <c r="B35" s="277" t="s">
        <v>107</v>
      </c>
      <c r="C35" s="451" t="s">
        <v>106</v>
      </c>
      <c r="D35" s="434">
        <f t="shared" si="1"/>
        <v>0.9</v>
      </c>
      <c r="E35" s="277">
        <v>0.9</v>
      </c>
      <c r="F35" s="277"/>
      <c r="G35" s="277"/>
      <c r="H35" s="277"/>
      <c r="I35" s="277"/>
      <c r="J35" s="277"/>
      <c r="K35" s="277"/>
      <c r="L35" s="277"/>
      <c r="M35" s="277"/>
      <c r="N35" s="277"/>
      <c r="O35" s="277"/>
    </row>
    <row r="36" spans="1:15" s="30" customFormat="1" ht="15.75">
      <c r="A36" s="269"/>
      <c r="B36" s="30" t="s">
        <v>304</v>
      </c>
      <c r="C36" s="449"/>
    </row>
  </sheetData>
  <mergeCells count="8">
    <mergeCell ref="E6:O7"/>
    <mergeCell ref="A5:O5"/>
    <mergeCell ref="A2:O4"/>
    <mergeCell ref="D6:D8"/>
    <mergeCell ref="A1:B1"/>
    <mergeCell ref="A6:A8"/>
    <mergeCell ref="B6:B8"/>
    <mergeCell ref="C6:C8"/>
  </mergeCells>
  <phoneticPr fontId="11" type="noConversion"/>
  <pageMargins left="0.79" right="0.15748031496062992" top="0.7" bottom="0.31496062992125984" header="0.28000000000000003" footer="0.23622047244094491"/>
  <pageSetup paperSize="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1"/>
  <sheetViews>
    <sheetView zoomScale="75" zoomScaleNormal="75" workbookViewId="0">
      <selection activeCell="D8" sqref="D8:O61"/>
    </sheetView>
  </sheetViews>
  <sheetFormatPr defaultColWidth="9.140625" defaultRowHeight="12.75"/>
  <cols>
    <col min="1" max="1" width="7.42578125" style="81" customWidth="1"/>
    <col min="2" max="2" width="46.42578125" style="31" customWidth="1"/>
    <col min="3" max="3" width="10.85546875" style="121" customWidth="1"/>
    <col min="4" max="4" width="17.42578125" style="122" customWidth="1"/>
    <col min="5" max="5" width="19.140625" style="122" customWidth="1"/>
    <col min="6" max="6" width="15" style="122" customWidth="1"/>
    <col min="7" max="7" width="14.7109375" style="122" customWidth="1"/>
    <col min="8" max="9" width="15" style="122" customWidth="1"/>
    <col min="10" max="11" width="14.5703125" style="122" customWidth="1"/>
    <col min="12" max="13" width="15" style="122" customWidth="1"/>
    <col min="14" max="14" width="14.28515625" style="122" customWidth="1"/>
    <col min="15" max="15" width="15" style="122" customWidth="1"/>
    <col min="16" max="16" width="8.140625" style="122" customWidth="1"/>
    <col min="17" max="17" width="8.42578125" style="122" customWidth="1"/>
    <col min="18" max="18" width="8" style="122" customWidth="1"/>
    <col min="19" max="19" width="8.140625" style="122" customWidth="1"/>
    <col min="20" max="20" width="7.85546875" style="122" customWidth="1"/>
    <col min="21" max="21" width="7.42578125" style="122" customWidth="1"/>
    <col min="22" max="22" width="8.28515625" style="122" customWidth="1"/>
    <col min="23" max="32" width="9.140625" style="122"/>
    <col min="33" max="16384" width="9.140625" style="31"/>
  </cols>
  <sheetData>
    <row r="1" spans="1:32" ht="15.75">
      <c r="A1" s="739" t="s">
        <v>467</v>
      </c>
      <c r="B1" s="739"/>
      <c r="C1" s="284"/>
      <c r="D1" s="124"/>
      <c r="E1" s="124"/>
      <c r="F1" s="124"/>
      <c r="G1" s="124"/>
      <c r="H1" s="124"/>
      <c r="I1" s="124"/>
      <c r="J1" s="124"/>
      <c r="K1" s="124"/>
      <c r="L1" s="124"/>
      <c r="M1" s="124"/>
      <c r="N1" s="124"/>
      <c r="O1" s="124"/>
    </row>
    <row r="2" spans="1:32" ht="15.75">
      <c r="A2" s="740" t="s">
        <v>466</v>
      </c>
      <c r="B2" s="740"/>
      <c r="C2" s="740"/>
      <c r="D2" s="740"/>
      <c r="E2" s="740"/>
      <c r="F2" s="740"/>
      <c r="G2" s="740"/>
      <c r="H2" s="740"/>
      <c r="I2" s="740"/>
      <c r="J2" s="740"/>
      <c r="K2" s="740"/>
      <c r="L2" s="740"/>
      <c r="M2" s="740"/>
      <c r="N2" s="740"/>
      <c r="O2" s="740"/>
    </row>
    <row r="3" spans="1:32" ht="15.75">
      <c r="A3" s="741" t="s">
        <v>0</v>
      </c>
      <c r="B3" s="741"/>
      <c r="C3" s="741"/>
      <c r="D3" s="741"/>
      <c r="E3" s="741"/>
      <c r="F3" s="741"/>
      <c r="G3" s="741"/>
      <c r="H3" s="741"/>
      <c r="I3" s="741"/>
      <c r="J3" s="741"/>
      <c r="K3" s="741"/>
      <c r="L3" s="741"/>
      <c r="M3" s="741"/>
      <c r="N3" s="741"/>
      <c r="O3" s="741"/>
    </row>
    <row r="4" spans="1:32" s="30" customFormat="1" ht="15.75">
      <c r="A4" s="714" t="s">
        <v>1</v>
      </c>
      <c r="B4" s="714" t="s">
        <v>2</v>
      </c>
      <c r="C4" s="742" t="s">
        <v>3</v>
      </c>
      <c r="D4" s="742" t="s">
        <v>4</v>
      </c>
      <c r="E4" s="742" t="s">
        <v>5</v>
      </c>
      <c r="F4" s="742"/>
      <c r="G4" s="742"/>
      <c r="H4" s="742"/>
      <c r="I4" s="742"/>
      <c r="J4" s="742"/>
      <c r="K4" s="742"/>
      <c r="L4" s="742"/>
      <c r="M4" s="742"/>
      <c r="N4" s="742"/>
      <c r="O4" s="742"/>
      <c r="P4" s="123"/>
      <c r="Q4" s="123"/>
      <c r="R4" s="123"/>
      <c r="S4" s="123"/>
      <c r="T4" s="123"/>
      <c r="U4" s="123"/>
      <c r="V4" s="123"/>
      <c r="W4" s="124"/>
      <c r="X4" s="124"/>
      <c r="Y4" s="124"/>
      <c r="Z4" s="124"/>
      <c r="AA4" s="124"/>
      <c r="AB4" s="124"/>
      <c r="AC4" s="124"/>
      <c r="AD4" s="124"/>
      <c r="AE4" s="124"/>
      <c r="AF4" s="124"/>
    </row>
    <row r="5" spans="1:32" s="30" customFormat="1" ht="4.5" hidden="1" customHeight="1">
      <c r="A5" s="714"/>
      <c r="B5" s="714"/>
      <c r="C5" s="742"/>
      <c r="D5" s="742"/>
      <c r="E5" s="742"/>
      <c r="F5" s="742"/>
      <c r="G5" s="742"/>
      <c r="H5" s="742"/>
      <c r="I5" s="742"/>
      <c r="J5" s="742"/>
      <c r="K5" s="742"/>
      <c r="L5" s="742"/>
      <c r="M5" s="742"/>
      <c r="N5" s="742"/>
      <c r="O5" s="742"/>
      <c r="P5" s="123"/>
      <c r="Q5" s="123"/>
      <c r="R5" s="123"/>
      <c r="S5" s="123"/>
      <c r="T5" s="123"/>
      <c r="U5" s="123"/>
      <c r="V5" s="123"/>
      <c r="W5" s="124"/>
      <c r="X5" s="124"/>
      <c r="Y5" s="124"/>
      <c r="Z5" s="124"/>
      <c r="AA5" s="124"/>
      <c r="AB5" s="124"/>
      <c r="AC5" s="124"/>
      <c r="AD5" s="124"/>
      <c r="AE5" s="124"/>
      <c r="AF5" s="124"/>
    </row>
    <row r="6" spans="1:32" s="30" customFormat="1" ht="36.75" customHeight="1">
      <c r="A6" s="714"/>
      <c r="B6" s="714"/>
      <c r="C6" s="742"/>
      <c r="D6" s="742"/>
      <c r="E6" s="285" t="s">
        <v>111</v>
      </c>
      <c r="F6" s="286" t="s">
        <v>190</v>
      </c>
      <c r="G6" s="286" t="s">
        <v>169</v>
      </c>
      <c r="H6" s="286" t="s">
        <v>170</v>
      </c>
      <c r="I6" s="286" t="s">
        <v>172</v>
      </c>
      <c r="J6" s="286" t="s">
        <v>198</v>
      </c>
      <c r="K6" s="286" t="s">
        <v>197</v>
      </c>
      <c r="L6" s="286" t="s">
        <v>191</v>
      </c>
      <c r="M6" s="286" t="s">
        <v>189</v>
      </c>
      <c r="N6" s="286" t="s">
        <v>174</v>
      </c>
      <c r="O6" s="286" t="s">
        <v>173</v>
      </c>
      <c r="P6" s="125"/>
      <c r="Q6" s="125"/>
      <c r="R6" s="125"/>
      <c r="S6" s="125"/>
      <c r="T6" s="125"/>
      <c r="U6" s="125"/>
      <c r="V6" s="114"/>
      <c r="W6" s="124"/>
      <c r="X6" s="124"/>
      <c r="Y6" s="124"/>
      <c r="Z6" s="124"/>
      <c r="AA6" s="124"/>
      <c r="AB6" s="124"/>
      <c r="AC6" s="124"/>
      <c r="AD6" s="124"/>
      <c r="AE6" s="124"/>
      <c r="AF6" s="124"/>
    </row>
    <row r="7" spans="1:32" s="37" customFormat="1" ht="15.75" customHeight="1">
      <c r="A7" s="287">
        <v>-1</v>
      </c>
      <c r="B7" s="288">
        <v>-2</v>
      </c>
      <c r="C7" s="289">
        <v>-3</v>
      </c>
      <c r="D7" s="290" t="s">
        <v>130</v>
      </c>
      <c r="E7" s="291">
        <v>-5</v>
      </c>
      <c r="F7" s="291">
        <v>-6</v>
      </c>
      <c r="G7" s="291">
        <v>-7</v>
      </c>
      <c r="H7" s="291">
        <v>-8</v>
      </c>
      <c r="I7" s="291">
        <v>-9</v>
      </c>
      <c r="J7" s="291">
        <v>-10</v>
      </c>
      <c r="K7" s="291">
        <v>-11</v>
      </c>
      <c r="L7" s="291">
        <v>-12</v>
      </c>
      <c r="M7" s="291">
        <v>-13</v>
      </c>
      <c r="N7" s="291">
        <v>-14</v>
      </c>
      <c r="O7" s="291">
        <v>-15</v>
      </c>
      <c r="P7" s="126"/>
      <c r="Q7" s="126"/>
      <c r="R7" s="126"/>
      <c r="S7" s="126"/>
      <c r="T7" s="126"/>
      <c r="U7" s="126"/>
      <c r="V7" s="126"/>
      <c r="W7" s="127"/>
      <c r="X7" s="127"/>
      <c r="Y7" s="127"/>
      <c r="Z7" s="127"/>
      <c r="AA7" s="127"/>
      <c r="AB7" s="127"/>
      <c r="AC7" s="127"/>
      <c r="AD7" s="127"/>
      <c r="AE7" s="127"/>
      <c r="AF7" s="127"/>
    </row>
    <row r="8" spans="1:32" s="41" customFormat="1" ht="15.75">
      <c r="A8" s="292"/>
      <c r="B8" s="29" t="s">
        <v>129</v>
      </c>
      <c r="C8" s="293"/>
      <c r="D8" s="294">
        <f>D9+D22</f>
        <v>806.05000000000018</v>
      </c>
      <c r="E8" s="294">
        <f>E9+E22</f>
        <v>142.44</v>
      </c>
      <c r="F8" s="294">
        <f t="shared" ref="F8:O8" si="0">F9+F22</f>
        <v>16.759999999999998</v>
      </c>
      <c r="G8" s="294">
        <f t="shared" si="0"/>
        <v>145.03</v>
      </c>
      <c r="H8" s="294">
        <f t="shared" si="0"/>
        <v>73.89</v>
      </c>
      <c r="I8" s="294">
        <f t="shared" si="0"/>
        <v>18.060000000000002</v>
      </c>
      <c r="J8" s="294">
        <f t="shared" si="0"/>
        <v>7.45</v>
      </c>
      <c r="K8" s="294">
        <f t="shared" si="0"/>
        <v>26.200000000000003</v>
      </c>
      <c r="L8" s="294">
        <f t="shared" si="0"/>
        <v>1.05</v>
      </c>
      <c r="M8" s="294">
        <f t="shared" si="0"/>
        <v>69.39</v>
      </c>
      <c r="N8" s="294">
        <f t="shared" si="0"/>
        <v>281.10000000000002</v>
      </c>
      <c r="O8" s="294">
        <f t="shared" si="0"/>
        <v>24.68</v>
      </c>
      <c r="P8" s="128"/>
      <c r="Q8" s="128"/>
      <c r="R8" s="128"/>
      <c r="S8" s="128"/>
      <c r="T8" s="128"/>
      <c r="U8" s="128"/>
      <c r="V8" s="128"/>
      <c r="W8" s="129"/>
      <c r="X8" s="129"/>
      <c r="Y8" s="129"/>
      <c r="Z8" s="129"/>
      <c r="AA8" s="129"/>
      <c r="AB8" s="129"/>
      <c r="AC8" s="129"/>
      <c r="AD8" s="129"/>
      <c r="AE8" s="129"/>
      <c r="AF8" s="129"/>
    </row>
    <row r="9" spans="1:32" s="32" customFormat="1" ht="15.75">
      <c r="A9" s="80">
        <v>1</v>
      </c>
      <c r="B9" s="15" t="s">
        <v>6</v>
      </c>
      <c r="C9" s="141" t="s">
        <v>7</v>
      </c>
      <c r="D9" s="295">
        <f t="shared" ref="D9:D21" si="1">SUM(E9:O9)</f>
        <v>394.85</v>
      </c>
      <c r="E9" s="295">
        <f>E11+SUM(E13:E17)+SUM(E19:E21)</f>
        <v>72.28</v>
      </c>
      <c r="F9" s="295">
        <f t="shared" ref="F9:O9" si="2">F11+SUM(F13:F17)+SUM(F19:F21)</f>
        <v>9.6999999999999993</v>
      </c>
      <c r="G9" s="295">
        <f t="shared" si="2"/>
        <v>110.69</v>
      </c>
      <c r="H9" s="295">
        <f t="shared" si="2"/>
        <v>52.2</v>
      </c>
      <c r="I9" s="295">
        <f t="shared" si="2"/>
        <v>15.760000000000002</v>
      </c>
      <c r="J9" s="295">
        <f t="shared" si="2"/>
        <v>2.95</v>
      </c>
      <c r="K9" s="295">
        <f t="shared" si="2"/>
        <v>17.100000000000001</v>
      </c>
      <c r="L9" s="295">
        <f t="shared" si="2"/>
        <v>0</v>
      </c>
      <c r="M9" s="295">
        <f t="shared" si="2"/>
        <v>2.19</v>
      </c>
      <c r="N9" s="295">
        <f t="shared" si="2"/>
        <v>104.46000000000001</v>
      </c>
      <c r="O9" s="295">
        <f t="shared" si="2"/>
        <v>7.52</v>
      </c>
      <c r="P9" s="130"/>
      <c r="Q9" s="130"/>
      <c r="R9" s="130"/>
      <c r="S9" s="130"/>
      <c r="T9" s="130"/>
      <c r="U9" s="130"/>
      <c r="V9" s="130"/>
      <c r="W9" s="131"/>
      <c r="X9" s="131"/>
      <c r="Y9" s="131"/>
      <c r="Z9" s="131"/>
      <c r="AA9" s="131"/>
      <c r="AB9" s="131"/>
      <c r="AC9" s="131"/>
      <c r="AD9" s="131"/>
      <c r="AE9" s="131"/>
      <c r="AF9" s="131"/>
    </row>
    <row r="10" spans="1:32" ht="15.75">
      <c r="A10" s="79"/>
      <c r="B10" s="16" t="s">
        <v>94</v>
      </c>
      <c r="C10" s="132"/>
      <c r="D10" s="295"/>
      <c r="E10" s="133"/>
      <c r="F10" s="133"/>
      <c r="G10" s="133"/>
      <c r="H10" s="134"/>
      <c r="I10" s="133"/>
      <c r="J10" s="133"/>
      <c r="K10" s="133"/>
      <c r="L10" s="283"/>
      <c r="M10" s="133"/>
      <c r="N10" s="133"/>
      <c r="O10" s="135"/>
      <c r="P10" s="136"/>
      <c r="Q10" s="136"/>
      <c r="R10" s="136"/>
      <c r="S10" s="136"/>
      <c r="T10" s="136"/>
      <c r="U10" s="136"/>
      <c r="V10" s="136"/>
    </row>
    <row r="11" spans="1:32" ht="15.75">
      <c r="A11" s="79" t="s">
        <v>139</v>
      </c>
      <c r="B11" s="17" t="s">
        <v>8</v>
      </c>
      <c r="C11" s="137" t="s">
        <v>9</v>
      </c>
      <c r="D11" s="295">
        <f t="shared" si="1"/>
        <v>9</v>
      </c>
      <c r="E11" s="133">
        <v>3</v>
      </c>
      <c r="F11" s="133"/>
      <c r="G11" s="133"/>
      <c r="H11" s="134">
        <v>0.5</v>
      </c>
      <c r="I11" s="133"/>
      <c r="J11" s="133">
        <v>0.5</v>
      </c>
      <c r="K11" s="133">
        <v>3.5</v>
      </c>
      <c r="L11" s="283"/>
      <c r="M11" s="133"/>
      <c r="N11" s="133">
        <v>1.5</v>
      </c>
      <c r="O11" s="135"/>
      <c r="P11" s="136"/>
      <c r="Q11" s="136"/>
      <c r="R11" s="136"/>
      <c r="S11" s="136"/>
      <c r="T11" s="136"/>
      <c r="U11" s="136"/>
      <c r="V11" s="136"/>
    </row>
    <row r="12" spans="1:32" s="48" customFormat="1" ht="15.75">
      <c r="A12" s="79"/>
      <c r="B12" s="16" t="s">
        <v>10</v>
      </c>
      <c r="C12" s="132" t="s">
        <v>11</v>
      </c>
      <c r="D12" s="295">
        <f t="shared" si="1"/>
        <v>4.7</v>
      </c>
      <c r="E12" s="296">
        <v>2.2000000000000002</v>
      </c>
      <c r="F12" s="296"/>
      <c r="G12" s="296"/>
      <c r="H12" s="296">
        <v>0.5</v>
      </c>
      <c r="I12" s="296"/>
      <c r="J12" s="296"/>
      <c r="K12" s="296">
        <v>2</v>
      </c>
      <c r="L12" s="296"/>
      <c r="M12" s="296"/>
      <c r="N12" s="296"/>
      <c r="O12" s="296"/>
      <c r="P12" s="138"/>
      <c r="Q12" s="138"/>
      <c r="R12" s="138"/>
      <c r="S12" s="138"/>
      <c r="T12" s="138"/>
      <c r="U12" s="138"/>
      <c r="V12" s="138"/>
      <c r="W12" s="139"/>
      <c r="X12" s="139"/>
      <c r="Y12" s="139"/>
      <c r="Z12" s="139"/>
      <c r="AA12" s="139"/>
      <c r="AB12" s="139"/>
      <c r="AC12" s="139"/>
      <c r="AD12" s="139"/>
      <c r="AE12" s="139"/>
      <c r="AF12" s="139"/>
    </row>
    <row r="13" spans="1:32" ht="15.75">
      <c r="A13" s="79" t="s">
        <v>140</v>
      </c>
      <c r="B13" s="16" t="s">
        <v>12</v>
      </c>
      <c r="C13" s="132" t="s">
        <v>13</v>
      </c>
      <c r="D13" s="295">
        <f t="shared" si="1"/>
        <v>161.29999999999998</v>
      </c>
      <c r="E13" s="296">
        <v>20.38</v>
      </c>
      <c r="F13" s="296">
        <v>5.7</v>
      </c>
      <c r="G13" s="296">
        <v>62.46</v>
      </c>
      <c r="H13" s="296">
        <v>11.7</v>
      </c>
      <c r="I13" s="296">
        <v>7.3</v>
      </c>
      <c r="J13" s="296">
        <v>1.95</v>
      </c>
      <c r="K13" s="297">
        <v>7.6</v>
      </c>
      <c r="L13" s="296"/>
      <c r="M13" s="296">
        <f>1.14+0.05</f>
        <v>1.19</v>
      </c>
      <c r="N13" s="296">
        <f>19.2+20</f>
        <v>39.200000000000003</v>
      </c>
      <c r="O13" s="296">
        <v>3.82</v>
      </c>
      <c r="P13" s="136"/>
      <c r="Q13" s="136"/>
      <c r="R13" s="136"/>
      <c r="S13" s="136"/>
      <c r="T13" s="136"/>
      <c r="U13" s="136"/>
      <c r="V13" s="136"/>
    </row>
    <row r="14" spans="1:32" ht="15.75">
      <c r="A14" s="79" t="s">
        <v>141</v>
      </c>
      <c r="B14" s="16" t="s">
        <v>14</v>
      </c>
      <c r="C14" s="132" t="s">
        <v>15</v>
      </c>
      <c r="D14" s="295">
        <f t="shared" si="1"/>
        <v>135.99</v>
      </c>
      <c r="E14" s="296">
        <v>46.7</v>
      </c>
      <c r="F14" s="296">
        <v>4</v>
      </c>
      <c r="G14" s="296">
        <v>37.130000000000003</v>
      </c>
      <c r="H14" s="296">
        <v>18</v>
      </c>
      <c r="I14" s="296">
        <v>8.4600000000000009</v>
      </c>
      <c r="J14" s="296">
        <v>0.5</v>
      </c>
      <c r="K14" s="296">
        <v>6</v>
      </c>
      <c r="L14" s="296"/>
      <c r="M14" s="296">
        <v>1</v>
      </c>
      <c r="N14" s="296">
        <v>10.5</v>
      </c>
      <c r="O14" s="296">
        <v>3.7</v>
      </c>
      <c r="P14" s="136"/>
      <c r="Q14" s="136"/>
      <c r="R14" s="136"/>
      <c r="S14" s="136"/>
      <c r="T14" s="136"/>
      <c r="U14" s="136"/>
      <c r="V14" s="136"/>
    </row>
    <row r="15" spans="1:32" ht="15.75">
      <c r="A15" s="79" t="s">
        <v>142</v>
      </c>
      <c r="B15" s="16" t="s">
        <v>16</v>
      </c>
      <c r="C15" s="132" t="s">
        <v>17</v>
      </c>
      <c r="D15" s="295">
        <f t="shared" si="1"/>
        <v>36.26</v>
      </c>
      <c r="E15" s="296"/>
      <c r="F15" s="296"/>
      <c r="G15" s="296"/>
      <c r="H15" s="296"/>
      <c r="I15" s="296"/>
      <c r="J15" s="296"/>
      <c r="K15" s="296"/>
      <c r="L15" s="296"/>
      <c r="M15" s="296"/>
      <c r="N15" s="296">
        <v>36.26</v>
      </c>
      <c r="O15" s="296"/>
      <c r="P15" s="136"/>
      <c r="Q15" s="136"/>
      <c r="R15" s="136"/>
      <c r="S15" s="136"/>
      <c r="T15" s="136"/>
      <c r="U15" s="136"/>
      <c r="V15" s="136"/>
    </row>
    <row r="16" spans="1:32" ht="15.75">
      <c r="A16" s="79" t="s">
        <v>143</v>
      </c>
      <c r="B16" s="16" t="s">
        <v>18</v>
      </c>
      <c r="C16" s="132" t="s">
        <v>19</v>
      </c>
      <c r="D16" s="295">
        <f t="shared" si="1"/>
        <v>22</v>
      </c>
      <c r="E16" s="133"/>
      <c r="F16" s="133"/>
      <c r="G16" s="133"/>
      <c r="H16" s="133">
        <v>22</v>
      </c>
      <c r="I16" s="133"/>
      <c r="J16" s="133"/>
      <c r="K16" s="133"/>
      <c r="L16" s="283"/>
      <c r="M16" s="133"/>
      <c r="N16" s="133"/>
      <c r="O16" s="135"/>
      <c r="P16" s="136"/>
      <c r="Q16" s="140"/>
      <c r="R16" s="136"/>
      <c r="S16" s="136"/>
      <c r="T16" s="136"/>
      <c r="U16" s="136"/>
      <c r="V16" s="136"/>
    </row>
    <row r="17" spans="1:32" ht="15.75">
      <c r="A17" s="79" t="s">
        <v>144</v>
      </c>
      <c r="B17" s="16" t="s">
        <v>20</v>
      </c>
      <c r="C17" s="132" t="s">
        <v>21</v>
      </c>
      <c r="D17" s="295">
        <f t="shared" si="1"/>
        <v>30</v>
      </c>
      <c r="E17" s="296">
        <v>2</v>
      </c>
      <c r="F17" s="296"/>
      <c r="G17" s="296">
        <v>11</v>
      </c>
      <c r="H17" s="296"/>
      <c r="I17" s="296"/>
      <c r="J17" s="296"/>
      <c r="K17" s="296"/>
      <c r="L17" s="296"/>
      <c r="M17" s="296"/>
      <c r="N17" s="296">
        <v>17</v>
      </c>
      <c r="O17" s="296"/>
      <c r="P17" s="136"/>
      <c r="Q17" s="136"/>
      <c r="R17" s="136"/>
      <c r="S17" s="136"/>
      <c r="T17" s="136"/>
      <c r="U17" s="136"/>
      <c r="V17" s="136"/>
    </row>
    <row r="18" spans="1:32" ht="15.75">
      <c r="A18" s="79"/>
      <c r="B18" s="16" t="s">
        <v>277</v>
      </c>
      <c r="C18" s="132" t="s">
        <v>281</v>
      </c>
      <c r="D18" s="295">
        <f t="shared" si="1"/>
        <v>0</v>
      </c>
      <c r="E18" s="296"/>
      <c r="F18" s="296"/>
      <c r="G18" s="296"/>
      <c r="H18" s="296"/>
      <c r="I18" s="296"/>
      <c r="J18" s="296"/>
      <c r="K18" s="296"/>
      <c r="L18" s="296"/>
      <c r="M18" s="296"/>
      <c r="N18" s="296"/>
      <c r="O18" s="296"/>
      <c r="P18" s="136"/>
      <c r="Q18" s="136"/>
      <c r="R18" s="136"/>
      <c r="S18" s="136"/>
      <c r="T18" s="136"/>
      <c r="U18" s="136"/>
      <c r="V18" s="136"/>
    </row>
    <row r="19" spans="1:32" ht="15.75">
      <c r="A19" s="79" t="s">
        <v>145</v>
      </c>
      <c r="B19" s="16" t="s">
        <v>269</v>
      </c>
      <c r="C19" s="132" t="s">
        <v>23</v>
      </c>
      <c r="D19" s="295">
        <f t="shared" si="1"/>
        <v>0.30000000000000004</v>
      </c>
      <c r="E19" s="296">
        <v>0.2</v>
      </c>
      <c r="F19" s="296"/>
      <c r="G19" s="296">
        <v>0.1</v>
      </c>
      <c r="H19" s="296"/>
      <c r="I19" s="296"/>
      <c r="J19" s="296"/>
      <c r="K19" s="296"/>
      <c r="L19" s="296"/>
      <c r="M19" s="296"/>
      <c r="N19" s="296"/>
      <c r="O19" s="296"/>
      <c r="P19" s="136"/>
      <c r="Q19" s="136"/>
      <c r="R19" s="136"/>
      <c r="S19" s="136"/>
      <c r="T19" s="136"/>
      <c r="U19" s="136"/>
      <c r="V19" s="136"/>
    </row>
    <row r="20" spans="1:32" ht="15.75">
      <c r="A20" s="435" t="s">
        <v>146</v>
      </c>
      <c r="B20" s="16" t="s">
        <v>24</v>
      </c>
      <c r="C20" s="132" t="s">
        <v>25</v>
      </c>
      <c r="D20" s="295">
        <f t="shared" si="1"/>
        <v>0</v>
      </c>
      <c r="E20" s="296"/>
      <c r="F20" s="296"/>
      <c r="G20" s="296"/>
      <c r="H20" s="296"/>
      <c r="I20" s="296"/>
      <c r="J20" s="296"/>
      <c r="K20" s="296"/>
      <c r="L20" s="296"/>
      <c r="M20" s="296"/>
      <c r="N20" s="296"/>
      <c r="O20" s="296"/>
      <c r="P20" s="136"/>
      <c r="Q20" s="136"/>
      <c r="R20" s="136"/>
      <c r="S20" s="136"/>
      <c r="T20" s="136"/>
      <c r="U20" s="136"/>
      <c r="V20" s="136"/>
    </row>
    <row r="21" spans="1:32" ht="15.75">
      <c r="A21" s="79" t="s">
        <v>147</v>
      </c>
      <c r="B21" s="16" t="s">
        <v>26</v>
      </c>
      <c r="C21" s="132" t="s">
        <v>27</v>
      </c>
      <c r="D21" s="295">
        <f t="shared" si="1"/>
        <v>0</v>
      </c>
      <c r="E21" s="296"/>
      <c r="F21" s="296"/>
      <c r="G21" s="296"/>
      <c r="H21" s="296"/>
      <c r="I21" s="296"/>
      <c r="J21" s="296"/>
      <c r="K21" s="296"/>
      <c r="L21" s="296"/>
      <c r="M21" s="296"/>
      <c r="N21" s="296"/>
      <c r="O21" s="296"/>
      <c r="P21" s="136"/>
      <c r="Q21" s="136"/>
      <c r="R21" s="140"/>
      <c r="S21" s="136"/>
      <c r="T21" s="136"/>
      <c r="U21" s="136"/>
      <c r="V21" s="136"/>
    </row>
    <row r="22" spans="1:32" s="38" customFormat="1" ht="15.75">
      <c r="A22" s="80">
        <v>2</v>
      </c>
      <c r="B22" s="15" t="s">
        <v>28</v>
      </c>
      <c r="C22" s="141" t="s">
        <v>29</v>
      </c>
      <c r="D22" s="295">
        <f>SUM(E22:O22)</f>
        <v>411.2000000000001</v>
      </c>
      <c r="E22" s="295">
        <f>SUM(E24:E32)+SUM(E50:E61)</f>
        <v>70.16</v>
      </c>
      <c r="F22" s="295">
        <f t="shared" ref="F22:O22" si="3">SUM(F24:F32)+SUM(F50:F61)</f>
        <v>7.0600000000000005</v>
      </c>
      <c r="G22" s="295">
        <f t="shared" si="3"/>
        <v>34.340000000000003</v>
      </c>
      <c r="H22" s="295">
        <f t="shared" si="3"/>
        <v>21.69</v>
      </c>
      <c r="I22" s="295">
        <f t="shared" si="3"/>
        <v>2.2999999999999998</v>
      </c>
      <c r="J22" s="295">
        <f t="shared" si="3"/>
        <v>4.5</v>
      </c>
      <c r="K22" s="295">
        <f t="shared" si="3"/>
        <v>9.1</v>
      </c>
      <c r="L22" s="295">
        <f t="shared" si="3"/>
        <v>1.05</v>
      </c>
      <c r="M22" s="295">
        <f t="shared" si="3"/>
        <v>67.2</v>
      </c>
      <c r="N22" s="295">
        <f t="shared" si="3"/>
        <v>176.64000000000001</v>
      </c>
      <c r="O22" s="295">
        <f t="shared" si="3"/>
        <v>17.16</v>
      </c>
      <c r="P22" s="142"/>
      <c r="Q22" s="142"/>
      <c r="R22" s="142"/>
      <c r="S22" s="142"/>
      <c r="T22" s="142"/>
      <c r="U22" s="142"/>
      <c r="V22" s="142"/>
      <c r="W22" s="143"/>
      <c r="X22" s="143"/>
      <c r="Y22" s="143"/>
      <c r="Z22" s="143"/>
      <c r="AA22" s="143"/>
      <c r="AB22" s="143"/>
      <c r="AC22" s="143"/>
      <c r="AD22" s="143"/>
      <c r="AE22" s="143"/>
      <c r="AF22" s="143"/>
    </row>
    <row r="23" spans="1:32" ht="15.75">
      <c r="A23" s="79"/>
      <c r="B23" s="16" t="s">
        <v>94</v>
      </c>
      <c r="C23" s="132"/>
      <c r="D23" s="295">
        <f t="shared" ref="D23:D61" si="4">SUM(E23:O23)</f>
        <v>0</v>
      </c>
      <c r="E23" s="296"/>
      <c r="F23" s="296"/>
      <c r="G23" s="296"/>
      <c r="H23" s="296"/>
      <c r="I23" s="296"/>
      <c r="J23" s="296"/>
      <c r="K23" s="296"/>
      <c r="L23" s="296"/>
      <c r="M23" s="296"/>
      <c r="N23" s="296"/>
      <c r="O23" s="296"/>
      <c r="P23" s="136"/>
      <c r="Q23" s="136"/>
      <c r="R23" s="136"/>
      <c r="S23" s="136"/>
      <c r="T23" s="136"/>
      <c r="U23" s="136"/>
      <c r="V23" s="136"/>
    </row>
    <row r="24" spans="1:32" ht="15.75">
      <c r="A24" s="79" t="s">
        <v>148</v>
      </c>
      <c r="B24" s="16" t="s">
        <v>30</v>
      </c>
      <c r="C24" s="132" t="s">
        <v>31</v>
      </c>
      <c r="D24" s="295">
        <f t="shared" si="4"/>
        <v>0</v>
      </c>
      <c r="E24" s="296"/>
      <c r="F24" s="296"/>
      <c r="G24" s="296"/>
      <c r="H24" s="296"/>
      <c r="I24" s="296"/>
      <c r="J24" s="296"/>
      <c r="K24" s="296"/>
      <c r="L24" s="296"/>
      <c r="M24" s="296"/>
      <c r="N24" s="296"/>
      <c r="O24" s="296"/>
      <c r="P24" s="136"/>
      <c r="Q24" s="136"/>
      <c r="R24" s="136"/>
      <c r="S24" s="136"/>
      <c r="T24" s="136"/>
      <c r="U24" s="136"/>
      <c r="V24" s="136"/>
    </row>
    <row r="25" spans="1:32" ht="15.75">
      <c r="A25" s="79" t="s">
        <v>138</v>
      </c>
      <c r="B25" s="16" t="s">
        <v>32</v>
      </c>
      <c r="C25" s="132" t="s">
        <v>33</v>
      </c>
      <c r="D25" s="295">
        <f t="shared" si="4"/>
        <v>0</v>
      </c>
      <c r="E25" s="296"/>
      <c r="F25" s="296"/>
      <c r="G25" s="296"/>
      <c r="H25" s="296"/>
      <c r="I25" s="296"/>
      <c r="J25" s="296"/>
      <c r="K25" s="296"/>
      <c r="L25" s="296"/>
      <c r="M25" s="296"/>
      <c r="N25" s="296"/>
      <c r="O25" s="296"/>
      <c r="P25" s="136"/>
      <c r="Q25" s="136"/>
      <c r="R25" s="136"/>
      <c r="S25" s="136"/>
      <c r="T25" s="136"/>
      <c r="U25" s="136"/>
      <c r="V25" s="136"/>
    </row>
    <row r="26" spans="1:32" ht="15.75">
      <c r="A26" s="79" t="s">
        <v>149</v>
      </c>
      <c r="B26" s="16" t="s">
        <v>34</v>
      </c>
      <c r="C26" s="132" t="s">
        <v>35</v>
      </c>
      <c r="D26" s="295">
        <f t="shared" si="4"/>
        <v>0</v>
      </c>
      <c r="E26" s="296"/>
      <c r="F26" s="296"/>
      <c r="G26" s="296"/>
      <c r="H26" s="296"/>
      <c r="I26" s="296"/>
      <c r="J26" s="296"/>
      <c r="K26" s="296"/>
      <c r="L26" s="296"/>
      <c r="M26" s="296"/>
      <c r="N26" s="296"/>
      <c r="O26" s="296"/>
      <c r="P26" s="136"/>
      <c r="Q26" s="136"/>
      <c r="R26" s="136"/>
      <c r="S26" s="136"/>
      <c r="T26" s="136"/>
      <c r="U26" s="136"/>
      <c r="V26" s="136"/>
    </row>
    <row r="27" spans="1:32" ht="15.75">
      <c r="A27" s="79" t="s">
        <v>150</v>
      </c>
      <c r="B27" s="16" t="s">
        <v>36</v>
      </c>
      <c r="C27" s="132" t="s">
        <v>37</v>
      </c>
      <c r="D27" s="295">
        <f t="shared" si="4"/>
        <v>0</v>
      </c>
      <c r="E27" s="296"/>
      <c r="F27" s="296"/>
      <c r="G27" s="296"/>
      <c r="H27" s="296"/>
      <c r="I27" s="296"/>
      <c r="J27" s="296"/>
      <c r="K27" s="296"/>
      <c r="L27" s="296"/>
      <c r="M27" s="296"/>
      <c r="N27" s="296"/>
      <c r="O27" s="296"/>
      <c r="P27" s="136"/>
      <c r="Q27" s="136"/>
      <c r="R27" s="136"/>
      <c r="S27" s="136"/>
      <c r="T27" s="136"/>
      <c r="U27" s="136"/>
      <c r="V27" s="136"/>
    </row>
    <row r="28" spans="1:32" ht="15.75">
      <c r="A28" s="79" t="s">
        <v>151</v>
      </c>
      <c r="B28" s="16" t="s">
        <v>38</v>
      </c>
      <c r="C28" s="132" t="s">
        <v>39</v>
      </c>
      <c r="D28" s="295">
        <f t="shared" si="4"/>
        <v>0</v>
      </c>
      <c r="E28" s="296"/>
      <c r="F28" s="296"/>
      <c r="G28" s="296"/>
      <c r="H28" s="296"/>
      <c r="I28" s="296"/>
      <c r="J28" s="296"/>
      <c r="K28" s="296"/>
      <c r="L28" s="296"/>
      <c r="M28" s="296"/>
      <c r="N28" s="296"/>
      <c r="O28" s="296"/>
      <c r="P28" s="136"/>
      <c r="Q28" s="136"/>
      <c r="R28" s="136"/>
      <c r="S28" s="136"/>
      <c r="T28" s="136"/>
      <c r="U28" s="136"/>
      <c r="V28" s="136"/>
    </row>
    <row r="29" spans="1:32" ht="15.75">
      <c r="A29" s="79" t="s">
        <v>152</v>
      </c>
      <c r="B29" s="52" t="s">
        <v>40</v>
      </c>
      <c r="C29" s="132" t="s">
        <v>41</v>
      </c>
      <c r="D29" s="295">
        <f t="shared" si="4"/>
        <v>0</v>
      </c>
      <c r="E29" s="296"/>
      <c r="F29" s="296"/>
      <c r="G29" s="296"/>
      <c r="H29" s="296"/>
      <c r="I29" s="296"/>
      <c r="J29" s="296"/>
      <c r="K29" s="296"/>
      <c r="L29" s="296"/>
      <c r="M29" s="296"/>
      <c r="N29" s="296"/>
      <c r="O29" s="296"/>
      <c r="P29" s="136"/>
      <c r="Q29" s="136"/>
      <c r="R29" s="136"/>
      <c r="S29" s="136"/>
      <c r="T29" s="136"/>
      <c r="U29" s="136"/>
      <c r="V29" s="136"/>
    </row>
    <row r="30" spans="1:32" ht="15.75">
      <c r="A30" s="79" t="s">
        <v>153</v>
      </c>
      <c r="B30" s="16" t="s">
        <v>42</v>
      </c>
      <c r="C30" s="132" t="s">
        <v>43</v>
      </c>
      <c r="D30" s="295">
        <f t="shared" si="4"/>
        <v>0</v>
      </c>
      <c r="E30" s="296"/>
      <c r="F30" s="296"/>
      <c r="G30" s="296"/>
      <c r="H30" s="296"/>
      <c r="I30" s="296"/>
      <c r="J30" s="296"/>
      <c r="K30" s="296"/>
      <c r="L30" s="296"/>
      <c r="M30" s="296"/>
      <c r="N30" s="296"/>
      <c r="O30" s="296"/>
      <c r="P30" s="136"/>
      <c r="Q30" s="136"/>
      <c r="R30" s="136"/>
      <c r="S30" s="136"/>
      <c r="T30" s="136"/>
      <c r="U30" s="136"/>
      <c r="V30" s="136"/>
    </row>
    <row r="31" spans="1:32" ht="15.75">
      <c r="A31" s="79" t="s">
        <v>154</v>
      </c>
      <c r="B31" s="16" t="s">
        <v>65</v>
      </c>
      <c r="C31" s="132" t="s">
        <v>66</v>
      </c>
      <c r="D31" s="295">
        <f t="shared" si="4"/>
        <v>0</v>
      </c>
      <c r="E31" s="296"/>
      <c r="F31" s="296"/>
      <c r="G31" s="296"/>
      <c r="H31" s="296"/>
      <c r="I31" s="296"/>
      <c r="J31" s="296"/>
      <c r="K31" s="296"/>
      <c r="L31" s="296"/>
      <c r="M31" s="296"/>
      <c r="N31" s="296"/>
      <c r="O31" s="296"/>
      <c r="P31" s="136"/>
      <c r="Q31" s="136"/>
      <c r="R31" s="136"/>
      <c r="S31" s="136"/>
      <c r="T31" s="136"/>
      <c r="U31" s="136"/>
      <c r="V31" s="136"/>
    </row>
    <row r="32" spans="1:32" ht="31.5">
      <c r="A32" s="79" t="s">
        <v>155</v>
      </c>
      <c r="B32" s="16" t="s">
        <v>44</v>
      </c>
      <c r="C32" s="132" t="s">
        <v>45</v>
      </c>
      <c r="D32" s="295">
        <f t="shared" si="4"/>
        <v>369.26</v>
      </c>
      <c r="E32" s="296">
        <f>SUM(E34:E49)</f>
        <v>41.67</v>
      </c>
      <c r="F32" s="296">
        <f t="shared" ref="F32:O32" si="5">SUM(F34:F49)</f>
        <v>6.9600000000000009</v>
      </c>
      <c r="G32" s="296">
        <f t="shared" si="5"/>
        <v>32.24</v>
      </c>
      <c r="H32" s="296">
        <f t="shared" si="5"/>
        <v>21.69</v>
      </c>
      <c r="I32" s="296">
        <f t="shared" si="5"/>
        <v>2.2199999999999998</v>
      </c>
      <c r="J32" s="296">
        <f t="shared" si="5"/>
        <v>3</v>
      </c>
      <c r="K32" s="296">
        <f t="shared" si="5"/>
        <v>0.1</v>
      </c>
      <c r="L32" s="296">
        <f t="shared" si="5"/>
        <v>1.05</v>
      </c>
      <c r="M32" s="296">
        <f t="shared" si="5"/>
        <v>67.2</v>
      </c>
      <c r="N32" s="296">
        <f t="shared" si="5"/>
        <v>176.48000000000002</v>
      </c>
      <c r="O32" s="296">
        <f t="shared" si="5"/>
        <v>16.649999999999999</v>
      </c>
      <c r="P32" s="136"/>
      <c r="Q32" s="136"/>
      <c r="R32" s="136"/>
      <c r="S32" s="136"/>
      <c r="T32" s="136"/>
      <c r="U32" s="136"/>
      <c r="V32" s="136"/>
    </row>
    <row r="33" spans="1:22" ht="15.75">
      <c r="A33" s="79"/>
      <c r="B33" s="16" t="s">
        <v>94</v>
      </c>
      <c r="C33" s="132"/>
      <c r="D33" s="295">
        <f t="shared" si="4"/>
        <v>0</v>
      </c>
      <c r="E33" s="296"/>
      <c r="F33" s="296"/>
      <c r="G33" s="296"/>
      <c r="H33" s="296"/>
      <c r="I33" s="296"/>
      <c r="J33" s="296"/>
      <c r="K33" s="296"/>
      <c r="L33" s="296"/>
      <c r="M33" s="296"/>
      <c r="N33" s="296"/>
      <c r="O33" s="296"/>
      <c r="P33" s="136"/>
      <c r="Q33" s="136"/>
      <c r="R33" s="136"/>
      <c r="S33" s="136"/>
      <c r="T33" s="136"/>
      <c r="U33" s="136"/>
      <c r="V33" s="136"/>
    </row>
    <row r="34" spans="1:22" ht="15.75">
      <c r="A34" s="79" t="s">
        <v>221</v>
      </c>
      <c r="B34" s="16" t="s">
        <v>228</v>
      </c>
      <c r="C34" s="132" t="s">
        <v>196</v>
      </c>
      <c r="D34" s="295">
        <f t="shared" si="4"/>
        <v>79.62</v>
      </c>
      <c r="E34" s="296">
        <v>18.100000000000001</v>
      </c>
      <c r="F34" s="296">
        <v>6.4</v>
      </c>
      <c r="G34" s="296">
        <v>32.04</v>
      </c>
      <c r="H34" s="296">
        <v>1.19</v>
      </c>
      <c r="I34" s="296">
        <v>0.72</v>
      </c>
      <c r="J34" s="296">
        <v>2.5</v>
      </c>
      <c r="K34" s="296"/>
      <c r="L34" s="296">
        <v>1</v>
      </c>
      <c r="M34" s="296"/>
      <c r="N34" s="296">
        <v>2.6</v>
      </c>
      <c r="O34" s="296">
        <v>15.07</v>
      </c>
      <c r="P34" s="136"/>
      <c r="Q34" s="136"/>
      <c r="R34" s="136"/>
      <c r="S34" s="136"/>
      <c r="T34" s="136"/>
      <c r="U34" s="136"/>
      <c r="V34" s="136"/>
    </row>
    <row r="35" spans="1:22" ht="15.75">
      <c r="A35" s="79" t="s">
        <v>221</v>
      </c>
      <c r="B35" s="16" t="s">
        <v>305</v>
      </c>
      <c r="C35" s="132" t="s">
        <v>194</v>
      </c>
      <c r="D35" s="295">
        <f t="shared" si="4"/>
        <v>40.43</v>
      </c>
      <c r="E35" s="296">
        <v>19.96</v>
      </c>
      <c r="F35" s="296"/>
      <c r="G35" s="296"/>
      <c r="H35" s="296">
        <v>20.399999999999999</v>
      </c>
      <c r="I35" s="296"/>
      <c r="J35" s="296"/>
      <c r="K35" s="296"/>
      <c r="L35" s="296"/>
      <c r="M35" s="296"/>
      <c r="N35" s="296"/>
      <c r="O35" s="296">
        <v>7.0000000000000007E-2</v>
      </c>
      <c r="P35" s="136"/>
      <c r="Q35" s="136"/>
      <c r="R35" s="136"/>
      <c r="S35" s="136"/>
      <c r="T35" s="136"/>
      <c r="U35" s="136"/>
      <c r="V35" s="136"/>
    </row>
    <row r="36" spans="1:22" ht="15.75">
      <c r="A36" s="79" t="s">
        <v>221</v>
      </c>
      <c r="B36" s="16" t="s">
        <v>222</v>
      </c>
      <c r="C36" s="132" t="s">
        <v>232</v>
      </c>
      <c r="D36" s="295">
        <f t="shared" si="4"/>
        <v>2.5</v>
      </c>
      <c r="E36" s="296">
        <v>2.5</v>
      </c>
      <c r="F36" s="296"/>
      <c r="G36" s="296"/>
      <c r="H36" s="296"/>
      <c r="I36" s="296"/>
      <c r="J36" s="296"/>
      <c r="K36" s="296"/>
      <c r="L36" s="296"/>
      <c r="M36" s="296"/>
      <c r="N36" s="296"/>
      <c r="O36" s="296"/>
      <c r="P36" s="136"/>
      <c r="Q36" s="136"/>
      <c r="R36" s="136"/>
      <c r="S36" s="136"/>
      <c r="T36" s="136"/>
      <c r="U36" s="136"/>
      <c r="V36" s="136"/>
    </row>
    <row r="37" spans="1:22" ht="15.75">
      <c r="A37" s="79" t="s">
        <v>221</v>
      </c>
      <c r="B37" s="16" t="s">
        <v>223</v>
      </c>
      <c r="C37" s="132" t="s">
        <v>233</v>
      </c>
      <c r="D37" s="295">
        <f t="shared" si="4"/>
        <v>0</v>
      </c>
      <c r="E37" s="296"/>
      <c r="F37" s="296"/>
      <c r="G37" s="296"/>
      <c r="H37" s="296"/>
      <c r="I37" s="296"/>
      <c r="J37" s="296"/>
      <c r="K37" s="296"/>
      <c r="L37" s="296"/>
      <c r="M37" s="296"/>
      <c r="N37" s="296"/>
      <c r="O37" s="296"/>
      <c r="P37" s="136"/>
      <c r="Q37" s="136"/>
      <c r="R37" s="136"/>
      <c r="S37" s="136"/>
      <c r="T37" s="136"/>
      <c r="U37" s="136"/>
      <c r="V37" s="136"/>
    </row>
    <row r="38" spans="1:22" ht="15.75">
      <c r="A38" s="79" t="s">
        <v>221</v>
      </c>
      <c r="B38" s="16" t="s">
        <v>306</v>
      </c>
      <c r="C38" s="132" t="s">
        <v>192</v>
      </c>
      <c r="D38" s="295">
        <f t="shared" si="4"/>
        <v>3.42</v>
      </c>
      <c r="E38" s="296"/>
      <c r="F38" s="296">
        <f>0.06+0.5</f>
        <v>0.56000000000000005</v>
      </c>
      <c r="G38" s="296">
        <v>0.2</v>
      </c>
      <c r="H38" s="296">
        <v>0.1</v>
      </c>
      <c r="I38" s="296">
        <v>1.5</v>
      </c>
      <c r="J38" s="296">
        <v>0.5</v>
      </c>
      <c r="K38" s="296">
        <v>0.1</v>
      </c>
      <c r="L38" s="296">
        <v>0.05</v>
      </c>
      <c r="M38" s="296">
        <v>0.2</v>
      </c>
      <c r="N38" s="296">
        <v>0.2</v>
      </c>
      <c r="O38" s="296">
        <v>0.01</v>
      </c>
      <c r="P38" s="136"/>
      <c r="Q38" s="136"/>
      <c r="R38" s="136"/>
      <c r="S38" s="136"/>
      <c r="T38" s="136"/>
      <c r="U38" s="136"/>
      <c r="V38" s="136"/>
    </row>
    <row r="39" spans="1:22" ht="15.75">
      <c r="A39" s="79" t="s">
        <v>221</v>
      </c>
      <c r="B39" s="52" t="s">
        <v>225</v>
      </c>
      <c r="C39" s="132" t="s">
        <v>195</v>
      </c>
      <c r="D39" s="295">
        <f t="shared" si="4"/>
        <v>0</v>
      </c>
      <c r="E39" s="296"/>
      <c r="F39" s="296"/>
      <c r="G39" s="296"/>
      <c r="H39" s="296"/>
      <c r="I39" s="296"/>
      <c r="J39" s="296"/>
      <c r="K39" s="296"/>
      <c r="L39" s="296"/>
      <c r="M39" s="296"/>
      <c r="N39" s="296"/>
      <c r="O39" s="296"/>
      <c r="P39" s="136"/>
      <c r="Q39" s="136"/>
      <c r="R39" s="136"/>
      <c r="S39" s="136"/>
      <c r="T39" s="136"/>
      <c r="U39" s="136"/>
      <c r="V39" s="136"/>
    </row>
    <row r="40" spans="1:22" ht="15.75">
      <c r="A40" s="79" t="s">
        <v>221</v>
      </c>
      <c r="B40" s="16" t="s">
        <v>282</v>
      </c>
      <c r="C40" s="132" t="s">
        <v>193</v>
      </c>
      <c r="D40" s="295">
        <f t="shared" si="4"/>
        <v>240.68</v>
      </c>
      <c r="E40" s="296"/>
      <c r="F40" s="296"/>
      <c r="G40" s="296"/>
      <c r="H40" s="296"/>
      <c r="I40" s="296"/>
      <c r="J40" s="296"/>
      <c r="K40" s="296"/>
      <c r="L40" s="296"/>
      <c r="M40" s="296">
        <v>67</v>
      </c>
      <c r="N40" s="296">
        <v>173.68</v>
      </c>
      <c r="O40" s="296"/>
      <c r="P40" s="136"/>
      <c r="Q40" s="136"/>
      <c r="R40" s="136"/>
      <c r="S40" s="136"/>
      <c r="T40" s="136"/>
      <c r="U40" s="136"/>
      <c r="V40" s="136"/>
    </row>
    <row r="41" spans="1:22" ht="15.75">
      <c r="A41" s="79" t="s">
        <v>221</v>
      </c>
      <c r="B41" s="16" t="s">
        <v>307</v>
      </c>
      <c r="C41" s="132" t="s">
        <v>236</v>
      </c>
      <c r="D41" s="295">
        <f t="shared" si="4"/>
        <v>0</v>
      </c>
      <c r="E41" s="296"/>
      <c r="F41" s="296"/>
      <c r="G41" s="296"/>
      <c r="H41" s="296"/>
      <c r="I41" s="296"/>
      <c r="J41" s="296"/>
      <c r="K41" s="296"/>
      <c r="L41" s="296"/>
      <c r="M41" s="296"/>
      <c r="N41" s="296"/>
      <c r="O41" s="296"/>
      <c r="P41" s="136"/>
      <c r="Q41" s="136"/>
      <c r="R41" s="136"/>
      <c r="S41" s="136"/>
      <c r="T41" s="136"/>
      <c r="U41" s="136"/>
      <c r="V41" s="136"/>
    </row>
    <row r="42" spans="1:22" ht="15.75">
      <c r="A42" s="79" t="s">
        <v>221</v>
      </c>
      <c r="B42" s="16" t="s">
        <v>278</v>
      </c>
      <c r="C42" s="132" t="s">
        <v>279</v>
      </c>
      <c r="D42" s="295">
        <f t="shared" si="4"/>
        <v>0</v>
      </c>
      <c r="E42" s="296"/>
      <c r="F42" s="296"/>
      <c r="G42" s="296"/>
      <c r="H42" s="296"/>
      <c r="I42" s="296"/>
      <c r="J42" s="296"/>
      <c r="K42" s="296"/>
      <c r="L42" s="296"/>
      <c r="M42" s="296"/>
      <c r="N42" s="296"/>
      <c r="O42" s="296"/>
      <c r="P42" s="136"/>
      <c r="Q42" s="136"/>
      <c r="R42" s="136"/>
      <c r="S42" s="136"/>
      <c r="T42" s="136"/>
      <c r="U42" s="136"/>
      <c r="V42" s="136"/>
    </row>
    <row r="43" spans="1:22" ht="15.75">
      <c r="A43" s="79" t="s">
        <v>221</v>
      </c>
      <c r="B43" s="16" t="s">
        <v>46</v>
      </c>
      <c r="C43" s="132" t="s">
        <v>47</v>
      </c>
      <c r="D43" s="295">
        <f t="shared" si="4"/>
        <v>1.5</v>
      </c>
      <c r="E43" s="296"/>
      <c r="F43" s="296"/>
      <c r="G43" s="296"/>
      <c r="H43" s="296"/>
      <c r="I43" s="296"/>
      <c r="J43" s="296"/>
      <c r="K43" s="296"/>
      <c r="L43" s="296"/>
      <c r="M43" s="296"/>
      <c r="N43" s="296"/>
      <c r="O43" s="296">
        <v>1.5</v>
      </c>
      <c r="P43" s="136"/>
      <c r="Q43" s="136"/>
      <c r="R43" s="136"/>
      <c r="S43" s="136"/>
      <c r="T43" s="136"/>
      <c r="U43" s="136"/>
      <c r="V43" s="136"/>
    </row>
    <row r="44" spans="1:22" ht="15.75">
      <c r="A44" s="79" t="s">
        <v>221</v>
      </c>
      <c r="B44" s="16" t="s">
        <v>50</v>
      </c>
      <c r="C44" s="132" t="s">
        <v>51</v>
      </c>
      <c r="D44" s="295">
        <f t="shared" si="4"/>
        <v>0</v>
      </c>
      <c r="E44" s="296"/>
      <c r="F44" s="296"/>
      <c r="G44" s="296"/>
      <c r="H44" s="296"/>
      <c r="I44" s="296"/>
      <c r="J44" s="296"/>
      <c r="K44" s="296"/>
      <c r="L44" s="296"/>
      <c r="M44" s="296"/>
      <c r="N44" s="296"/>
      <c r="O44" s="296"/>
      <c r="P44" s="136"/>
      <c r="Q44" s="136"/>
      <c r="R44" s="136"/>
      <c r="S44" s="136"/>
      <c r="T44" s="136"/>
      <c r="U44" s="136"/>
      <c r="V44" s="136"/>
    </row>
    <row r="45" spans="1:22" ht="15.75">
      <c r="A45" s="79" t="s">
        <v>221</v>
      </c>
      <c r="B45" s="16" t="s">
        <v>62</v>
      </c>
      <c r="C45" s="132" t="s">
        <v>63</v>
      </c>
      <c r="D45" s="295">
        <f t="shared" si="4"/>
        <v>0</v>
      </c>
      <c r="E45" s="296"/>
      <c r="F45" s="296"/>
      <c r="G45" s="296"/>
      <c r="H45" s="296"/>
      <c r="I45" s="296"/>
      <c r="J45" s="296"/>
      <c r="K45" s="296"/>
      <c r="L45" s="296"/>
      <c r="M45" s="296"/>
      <c r="N45" s="296"/>
      <c r="O45" s="296"/>
      <c r="P45" s="136"/>
      <c r="Q45" s="136"/>
      <c r="R45" s="136"/>
      <c r="S45" s="136"/>
      <c r="T45" s="136"/>
      <c r="U45" s="136"/>
      <c r="V45" s="136"/>
    </row>
    <row r="46" spans="1:22" ht="15.75">
      <c r="A46" s="280" t="s">
        <v>221</v>
      </c>
      <c r="B46" s="281" t="s">
        <v>280</v>
      </c>
      <c r="C46" s="282" t="s">
        <v>64</v>
      </c>
      <c r="D46" s="295">
        <f t="shared" si="4"/>
        <v>0</v>
      </c>
      <c r="E46" s="298"/>
      <c r="F46" s="298"/>
      <c r="G46" s="298"/>
      <c r="H46" s="298"/>
      <c r="I46" s="298"/>
      <c r="J46" s="298"/>
      <c r="K46" s="298"/>
      <c r="L46" s="298"/>
      <c r="M46" s="298"/>
      <c r="N46" s="298"/>
      <c r="O46" s="298"/>
      <c r="P46" s="136"/>
      <c r="Q46" s="136"/>
      <c r="R46" s="136"/>
      <c r="S46" s="136"/>
      <c r="T46" s="136"/>
      <c r="U46" s="136"/>
      <c r="V46" s="136"/>
    </row>
    <row r="47" spans="1:22" ht="15.75">
      <c r="A47" s="299" t="s">
        <v>221</v>
      </c>
      <c r="B47" s="275" t="s">
        <v>226</v>
      </c>
      <c r="C47" s="300" t="s">
        <v>234</v>
      </c>
      <c r="D47" s="295">
        <f t="shared" si="4"/>
        <v>0</v>
      </c>
      <c r="E47" s="301"/>
      <c r="F47" s="301"/>
      <c r="G47" s="301"/>
      <c r="H47" s="301"/>
      <c r="I47" s="301"/>
      <c r="J47" s="301"/>
      <c r="K47" s="301"/>
      <c r="L47" s="301"/>
      <c r="M47" s="301"/>
      <c r="N47" s="301"/>
      <c r="O47" s="301"/>
    </row>
    <row r="48" spans="1:22" ht="15.75">
      <c r="A48" s="299" t="s">
        <v>221</v>
      </c>
      <c r="B48" s="275" t="s">
        <v>227</v>
      </c>
      <c r="C48" s="300" t="s">
        <v>235</v>
      </c>
      <c r="D48" s="295">
        <f t="shared" si="4"/>
        <v>0</v>
      </c>
      <c r="E48" s="301"/>
      <c r="F48" s="301"/>
      <c r="G48" s="301"/>
      <c r="H48" s="301"/>
      <c r="I48" s="301"/>
      <c r="J48" s="301"/>
      <c r="K48" s="301"/>
      <c r="L48" s="301"/>
      <c r="M48" s="301"/>
      <c r="N48" s="301"/>
      <c r="O48" s="301"/>
    </row>
    <row r="49" spans="1:15" ht="15.75">
      <c r="A49" s="299" t="s">
        <v>221</v>
      </c>
      <c r="B49" s="275" t="s">
        <v>231</v>
      </c>
      <c r="C49" s="300" t="s">
        <v>206</v>
      </c>
      <c r="D49" s="295">
        <f t="shared" si="4"/>
        <v>1.1100000000000001</v>
      </c>
      <c r="E49" s="301">
        <v>1.1100000000000001</v>
      </c>
      <c r="F49" s="301"/>
      <c r="G49" s="301"/>
      <c r="H49" s="301"/>
      <c r="I49" s="301"/>
      <c r="J49" s="301"/>
      <c r="K49" s="301"/>
      <c r="L49" s="301"/>
      <c r="M49" s="301"/>
      <c r="N49" s="301"/>
      <c r="O49" s="301"/>
    </row>
    <row r="50" spans="1:15" ht="15.75">
      <c r="A50" s="299" t="s">
        <v>156</v>
      </c>
      <c r="B50" s="275" t="s">
        <v>48</v>
      </c>
      <c r="C50" s="300" t="s">
        <v>49</v>
      </c>
      <c r="D50" s="295">
        <f t="shared" si="4"/>
        <v>0</v>
      </c>
      <c r="E50" s="303"/>
      <c r="F50" s="301"/>
      <c r="G50" s="301"/>
      <c r="H50" s="301"/>
      <c r="I50" s="301"/>
      <c r="J50" s="301"/>
      <c r="K50" s="301"/>
      <c r="L50" s="301"/>
      <c r="M50" s="301"/>
      <c r="N50" s="301"/>
      <c r="O50" s="301"/>
    </row>
    <row r="51" spans="1:15" ht="16.5" customHeight="1">
      <c r="A51" s="299" t="s">
        <v>157</v>
      </c>
      <c r="B51" s="275" t="s">
        <v>67</v>
      </c>
      <c r="C51" s="300" t="s">
        <v>68</v>
      </c>
      <c r="D51" s="295">
        <f t="shared" si="4"/>
        <v>0.01</v>
      </c>
      <c r="E51" s="302"/>
      <c r="F51" s="301"/>
      <c r="G51" s="301"/>
      <c r="H51" s="301"/>
      <c r="I51" s="301"/>
      <c r="J51" s="301"/>
      <c r="K51" s="301"/>
      <c r="L51" s="301"/>
      <c r="M51" s="301"/>
      <c r="N51" s="301"/>
      <c r="O51" s="301">
        <v>0.01</v>
      </c>
    </row>
    <row r="52" spans="1:15" ht="15.75">
      <c r="A52" s="299" t="s">
        <v>158</v>
      </c>
      <c r="B52" s="275" t="s">
        <v>69</v>
      </c>
      <c r="C52" s="300" t="s">
        <v>70</v>
      </c>
      <c r="D52" s="295">
        <f t="shared" si="4"/>
        <v>1.1000000000000001</v>
      </c>
      <c r="E52" s="531">
        <v>1.1000000000000001</v>
      </c>
      <c r="F52" s="531"/>
      <c r="G52" s="531"/>
      <c r="H52" s="531"/>
      <c r="I52" s="531"/>
      <c r="J52" s="531"/>
      <c r="K52" s="531"/>
      <c r="L52" s="531"/>
      <c r="M52" s="531"/>
      <c r="N52" s="531"/>
      <c r="O52" s="531"/>
    </row>
    <row r="53" spans="1:15" ht="15.75">
      <c r="A53" s="299" t="s">
        <v>159</v>
      </c>
      <c r="B53" s="275" t="s">
        <v>52</v>
      </c>
      <c r="C53" s="300" t="s">
        <v>53</v>
      </c>
      <c r="D53" s="295">
        <f t="shared" si="4"/>
        <v>0.6</v>
      </c>
      <c r="E53" s="531"/>
      <c r="F53" s="531"/>
      <c r="G53" s="531">
        <v>0.1</v>
      </c>
      <c r="H53" s="531"/>
      <c r="I53" s="531"/>
      <c r="J53" s="531"/>
      <c r="K53" s="531"/>
      <c r="L53" s="531"/>
      <c r="M53" s="531"/>
      <c r="N53" s="531"/>
      <c r="O53" s="531">
        <v>0.5</v>
      </c>
    </row>
    <row r="54" spans="1:15" ht="15.75">
      <c r="A54" s="299" t="s">
        <v>160</v>
      </c>
      <c r="B54" s="275" t="s">
        <v>54</v>
      </c>
      <c r="C54" s="300" t="s">
        <v>55</v>
      </c>
      <c r="D54" s="295">
        <f t="shared" si="4"/>
        <v>23.49</v>
      </c>
      <c r="E54" s="531">
        <f>4.79+18.7</f>
        <v>23.49</v>
      </c>
      <c r="F54" s="531"/>
      <c r="G54" s="531"/>
      <c r="H54" s="531"/>
      <c r="I54" s="531"/>
      <c r="J54" s="531"/>
      <c r="K54" s="531"/>
      <c r="L54" s="531"/>
      <c r="M54" s="531"/>
      <c r="N54" s="531"/>
      <c r="O54" s="531"/>
    </row>
    <row r="55" spans="1:15" ht="15.75">
      <c r="A55" s="299" t="s">
        <v>161</v>
      </c>
      <c r="B55" s="275" t="s">
        <v>56</v>
      </c>
      <c r="C55" s="300" t="s">
        <v>57</v>
      </c>
      <c r="D55" s="295">
        <f t="shared" si="4"/>
        <v>4.24</v>
      </c>
      <c r="E55" s="531">
        <f>2.4+1.5</f>
        <v>3.9</v>
      </c>
      <c r="F55" s="531">
        <v>0.1</v>
      </c>
      <c r="G55" s="531"/>
      <c r="H55" s="531"/>
      <c r="I55" s="531">
        <v>0.08</v>
      </c>
      <c r="J55" s="531"/>
      <c r="K55" s="531"/>
      <c r="L55" s="531"/>
      <c r="M55" s="531"/>
      <c r="N55" s="531">
        <v>0.16</v>
      </c>
      <c r="O55" s="531"/>
    </row>
    <row r="56" spans="1:15" ht="15.75">
      <c r="A56" s="299" t="s">
        <v>162</v>
      </c>
      <c r="B56" s="275" t="s">
        <v>58</v>
      </c>
      <c r="C56" s="300" t="s">
        <v>59</v>
      </c>
      <c r="D56" s="295">
        <f t="shared" si="4"/>
        <v>0</v>
      </c>
      <c r="E56" s="531"/>
      <c r="F56" s="531"/>
      <c r="G56" s="531"/>
      <c r="H56" s="531"/>
      <c r="I56" s="531"/>
      <c r="J56" s="531"/>
      <c r="K56" s="531"/>
      <c r="L56" s="531"/>
      <c r="M56" s="531"/>
      <c r="N56" s="531"/>
      <c r="O56" s="531"/>
    </row>
    <row r="57" spans="1:15" ht="15.75">
      <c r="A57" s="299" t="s">
        <v>163</v>
      </c>
      <c r="B57" s="275" t="s">
        <v>60</v>
      </c>
      <c r="C57" s="300" t="s">
        <v>61</v>
      </c>
      <c r="D57" s="295">
        <f t="shared" si="4"/>
        <v>0</v>
      </c>
      <c r="E57" s="531"/>
      <c r="F57" s="531"/>
      <c r="G57" s="531"/>
      <c r="H57" s="531"/>
      <c r="I57" s="531"/>
      <c r="J57" s="531"/>
      <c r="K57" s="531"/>
      <c r="L57" s="531"/>
      <c r="M57" s="531"/>
      <c r="N57" s="531"/>
      <c r="O57" s="531"/>
    </row>
    <row r="58" spans="1:15" ht="15.75">
      <c r="A58" s="299" t="s">
        <v>164</v>
      </c>
      <c r="B58" s="275" t="s">
        <v>308</v>
      </c>
      <c r="C58" s="300" t="s">
        <v>72</v>
      </c>
      <c r="D58" s="295">
        <f t="shared" si="4"/>
        <v>0</v>
      </c>
      <c r="E58" s="531"/>
      <c r="F58" s="531"/>
      <c r="G58" s="531"/>
      <c r="H58" s="531"/>
      <c r="I58" s="531"/>
      <c r="J58" s="531"/>
      <c r="K58" s="531"/>
      <c r="L58" s="531"/>
      <c r="M58" s="531"/>
      <c r="N58" s="531"/>
      <c r="O58" s="531"/>
    </row>
    <row r="59" spans="1:15" ht="15.75">
      <c r="A59" s="299" t="s">
        <v>165</v>
      </c>
      <c r="B59" s="275" t="s">
        <v>73</v>
      </c>
      <c r="C59" s="300" t="s">
        <v>74</v>
      </c>
      <c r="D59" s="295">
        <f t="shared" si="4"/>
        <v>12.5</v>
      </c>
      <c r="E59" s="531"/>
      <c r="F59" s="531"/>
      <c r="G59" s="531">
        <v>2</v>
      </c>
      <c r="H59" s="531"/>
      <c r="I59" s="531"/>
      <c r="J59" s="531">
        <v>1.5</v>
      </c>
      <c r="K59" s="531">
        <v>9</v>
      </c>
      <c r="L59" s="531"/>
      <c r="M59" s="531"/>
      <c r="N59" s="531"/>
      <c r="O59" s="531"/>
    </row>
    <row r="60" spans="1:15" ht="15.75">
      <c r="A60" s="299" t="s">
        <v>166</v>
      </c>
      <c r="B60" s="275" t="s">
        <v>75</v>
      </c>
      <c r="C60" s="300" t="s">
        <v>76</v>
      </c>
      <c r="D60" s="295">
        <f t="shared" si="4"/>
        <v>0</v>
      </c>
      <c r="E60" s="531"/>
      <c r="F60" s="531"/>
      <c r="G60" s="531"/>
      <c r="H60" s="531"/>
      <c r="I60" s="531"/>
      <c r="J60" s="531"/>
      <c r="K60" s="531"/>
      <c r="L60" s="531"/>
      <c r="M60" s="531"/>
      <c r="N60" s="531"/>
      <c r="O60" s="531"/>
    </row>
    <row r="61" spans="1:15" ht="15.75">
      <c r="A61" s="304" t="s">
        <v>167</v>
      </c>
      <c r="B61" s="276" t="s">
        <v>77</v>
      </c>
      <c r="C61" s="305" t="s">
        <v>78</v>
      </c>
      <c r="D61" s="295">
        <f t="shared" si="4"/>
        <v>0</v>
      </c>
      <c r="E61" s="306"/>
      <c r="F61" s="306"/>
      <c r="G61" s="306"/>
      <c r="H61" s="306"/>
      <c r="I61" s="306"/>
      <c r="J61" s="306"/>
      <c r="K61" s="306"/>
      <c r="L61" s="306"/>
      <c r="M61" s="306"/>
      <c r="N61" s="306"/>
      <c r="O61" s="306"/>
    </row>
  </sheetData>
  <mergeCells count="8">
    <mergeCell ref="A1:B1"/>
    <mergeCell ref="A2:O2"/>
    <mergeCell ref="A3:O3"/>
    <mergeCell ref="A4:A6"/>
    <mergeCell ref="B4:B6"/>
    <mergeCell ref="C4:C6"/>
    <mergeCell ref="D4:D6"/>
    <mergeCell ref="E4:O5"/>
  </mergeCells>
  <pageMargins left="0.92" right="0.15" top="0.41" bottom="0.3" header="0.37" footer="0.2"/>
  <pageSetup paperSize="8" scale="85"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ss đcqh</vt:lpstr>
      <vt:lpstr>SS (2)</vt:lpstr>
      <vt:lpstr>Sheet3</vt:lpstr>
      <vt:lpstr>SS</vt:lpstr>
      <vt:lpstr>B1</vt:lpstr>
      <vt:lpstr>B2</vt:lpstr>
      <vt:lpstr>B6</vt:lpstr>
      <vt:lpstr>B7</vt:lpstr>
      <vt:lpstr>B8</vt:lpstr>
      <vt:lpstr>B9</vt:lpstr>
      <vt:lpstr>B10</vt:lpstr>
      <vt:lpstr>B13</vt:lpstr>
      <vt:lpstr>CÔng Tăng</vt:lpstr>
      <vt:lpstr>Cộng giảm</vt:lpstr>
      <vt:lpstr>Nháp 2</vt:lpstr>
      <vt:lpstr>Sheet5</vt:lpstr>
      <vt:lpstr>'B13'!OLE_LINK1</vt:lpstr>
      <vt:lpstr>'B10'!Print_Area</vt:lpstr>
      <vt:lpstr>'B10'!Print_Titles</vt:lpstr>
      <vt:lpstr>'B6'!Print_Titles</vt:lpstr>
    </vt:vector>
  </TitlesOfParts>
  <Company>8XSPACE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Hieu</dc:creator>
  <cp:lastModifiedBy>HTC</cp:lastModifiedBy>
  <cp:lastPrinted>2022-02-15T08:47:04Z</cp:lastPrinted>
  <dcterms:created xsi:type="dcterms:W3CDTF">2014-08-23T06:49:19Z</dcterms:created>
  <dcterms:modified xsi:type="dcterms:W3CDTF">2022-02-25T04:09:56Z</dcterms:modified>
</cp:coreProperties>
</file>