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120" windowWidth="15600" windowHeight="7515" firstSheet="3" activeTab="3"/>
  </bookViews>
  <sheets>
    <sheet name="BIEU 15" sheetId="48" state="hidden" r:id="rId1"/>
    <sheet name="BIEU 16" sheetId="47" state="hidden" r:id="rId2"/>
    <sheet name="BIEU 17" sheetId="46" state="hidden" r:id="rId3"/>
    <sheet name="B 29" sheetId="55" r:id="rId4"/>
    <sheet name="BIEU 30" sheetId="22" r:id="rId5"/>
    <sheet name="BIEU 31" sheetId="2" r:id="rId6"/>
    <sheet name="BIEU 32" sheetId="4" r:id="rId7"/>
    <sheet name="BIEU 33b04" sheetId="23" r:id="rId8"/>
    <sheet name="BIEU 34" sheetId="20" r:id="rId9"/>
    <sheet name="BIEU 35" sheetId="24" state="hidden" r:id="rId10"/>
    <sheet name="biểu 35" sheetId="53" r:id="rId11"/>
    <sheet name="36" sheetId="18" r:id="rId12"/>
    <sheet name="37" sheetId="17" r:id="rId13"/>
    <sheet name="39" sheetId="15" r:id="rId14"/>
    <sheet name="41" sheetId="13" r:id="rId15"/>
    <sheet name="b42-bsmt" sheetId="12" r:id="rId16"/>
    <sheet name="bieu 45" sheetId="52" state="hidden" r:id="rId17"/>
    <sheet name="Bieu 46" sheetId="51" state="hidden" r:id="rId18"/>
    <sheet name="bieu 47" sheetId="44"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#N/A</definedName>
    <definedName name="_??" localSheetId="3">BlankMacro1</definedName>
    <definedName name="_??">BlankMacro1</definedName>
    <definedName name="_??????1" localSheetId="3">BlankMacro1</definedName>
    <definedName name="_??????1">BlankMacro1</definedName>
    <definedName name="_??????2" localSheetId="3">BlankMacro1</definedName>
    <definedName name="_??????2">BlankMacro1</definedName>
    <definedName name="_??????3" localSheetId="3">BlankMacro1</definedName>
    <definedName name="_??????3">BlankMacro1</definedName>
    <definedName name="_??????4" localSheetId="3">BlankMacro1</definedName>
    <definedName name="_??????4">BlankMacro1</definedName>
    <definedName name="_??????5" localSheetId="3">BlankMacro1</definedName>
    <definedName name="_??????5">BlankMacro1</definedName>
    <definedName name="_??????6" localSheetId="3">BlankMacro1</definedName>
    <definedName name="_??????6">BlankMacro1</definedName>
    <definedName name="_________a1" localSheetId="3" hidden="1">{"'Sheet1'!$L$16"}</definedName>
    <definedName name="_________a1" hidden="1">{"'Sheet1'!$L$16"}</definedName>
    <definedName name="_________PA3" localSheetId="3" hidden="1">{"'Sheet1'!$L$16"}</definedName>
    <definedName name="_________PA3" hidden="1">{"'Sheet1'!$L$16"}</definedName>
    <definedName name="_______a1" localSheetId="3" hidden="1">{"'Sheet1'!$L$16"}</definedName>
    <definedName name="_______a1" hidden="1">{"'Sheet1'!$L$16"}</definedName>
    <definedName name="_______btm10">#REF!</definedName>
    <definedName name="_______btm100">#REF!</definedName>
    <definedName name="_______hom2">#REF!</definedName>
    <definedName name="_______KM188">#REF!</definedName>
    <definedName name="_______km189">#REF!</definedName>
    <definedName name="_______km193">#REF!</definedName>
    <definedName name="_______km194">#REF!</definedName>
    <definedName name="_______km195">#REF!</definedName>
    <definedName name="_______km197">#REF!</definedName>
    <definedName name="_______km198">#REF!</definedName>
    <definedName name="_______NCL100">#REF!</definedName>
    <definedName name="_______NCL200">#REF!</definedName>
    <definedName name="_______NCL250">#REF!</definedName>
    <definedName name="_______nin190">#REF!</definedName>
    <definedName name="_______NSO2" localSheetId="3" hidden="1">{"'Sheet1'!$L$16"}</definedName>
    <definedName name="_______NSO2" hidden="1">{"'Sheet1'!$L$16"}</definedName>
    <definedName name="_______PA3" localSheetId="3" hidden="1">{"'Sheet1'!$L$16"}</definedName>
    <definedName name="_______PA3" hidden="1">{"'Sheet1'!$L$16"}</definedName>
    <definedName name="_______SN3">#REF!</definedName>
    <definedName name="_______sua20">#REF!</definedName>
    <definedName name="_______sua30">#REF!</definedName>
    <definedName name="_______TB1">#REF!</definedName>
    <definedName name="_______TL3">#REF!</definedName>
    <definedName name="_______VL100">#REF!</definedName>
    <definedName name="_______VL250">#REF!</definedName>
    <definedName name="______a1" localSheetId="3" hidden="1">{"'Sheet1'!$L$16"}</definedName>
    <definedName name="______a1" hidden="1">{"'Sheet1'!$L$16"}</definedName>
    <definedName name="______boi1">#REF!</definedName>
    <definedName name="______boi2">#REF!</definedName>
    <definedName name="______boi3">#REF!</definedName>
    <definedName name="______boi4">#REF!</definedName>
    <definedName name="______btm10">#REF!</definedName>
    <definedName name="______btm1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ON1">#REF!</definedName>
    <definedName name="______CON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n400">#REF!</definedName>
    <definedName name="______ddn600">#REF!</definedName>
    <definedName name="______gon4">#REF!</definedName>
    <definedName name="______h1" localSheetId="3" hidden="1">{"'Sheet1'!$L$16"}</definedName>
    <definedName name="______h1" hidden="1">{"'Sheet1'!$L$16"}</definedName>
    <definedName name="______h10" localSheetId="3" hidden="1">{#N/A,#N/A,FALSE,"Chi tiÆt"}</definedName>
    <definedName name="______h10" hidden="1">{#N/A,#N/A,FALSE,"Chi tiÆt"}</definedName>
    <definedName name="______h2" localSheetId="3" hidden="1">{"'Sheet1'!$L$16"}</definedName>
    <definedName name="______h2" hidden="1">{"'Sheet1'!$L$16"}</definedName>
    <definedName name="______h3" localSheetId="3" hidden="1">{"'Sheet1'!$L$16"}</definedName>
    <definedName name="______h3" hidden="1">{"'Sheet1'!$L$16"}</definedName>
    <definedName name="______h5" localSheetId="3" hidden="1">{"'Sheet1'!$L$16"}</definedName>
    <definedName name="______h5" hidden="1">{"'Sheet1'!$L$16"}</definedName>
    <definedName name="______h6" localSheetId="3" hidden="1">{"'Sheet1'!$L$16"}</definedName>
    <definedName name="______h6" hidden="1">{"'Sheet1'!$L$16"}</definedName>
    <definedName name="______h7" localSheetId="3" hidden="1">{"'Sheet1'!$L$16"}</definedName>
    <definedName name="______h7" hidden="1">{"'Sheet1'!$L$16"}</definedName>
    <definedName name="______h8" localSheetId="3" hidden="1">{"'Sheet1'!$L$16"}</definedName>
    <definedName name="______h8" hidden="1">{"'Sheet1'!$L$16"}</definedName>
    <definedName name="______h9" localSheetId="3" hidden="1">{"'Sheet1'!$L$16"}</definedName>
    <definedName name="______h9" hidden="1">{"'Sheet1'!$L$16"}</definedName>
    <definedName name="______hom2">#REF!</definedName>
    <definedName name="______KM188">#REF!</definedName>
    <definedName name="______km189">#REF!</definedName>
    <definedName name="______km190">#REF!</definedName>
    <definedName name="______km191">#REF!</definedName>
    <definedName name="______km192">#REF!</definedName>
    <definedName name="______km193">#REF!</definedName>
    <definedName name="______km194">#REF!</definedName>
    <definedName name="______km195">#REF!</definedName>
    <definedName name="______km196">#REF!</definedName>
    <definedName name="______km197">#REF!</definedName>
    <definedName name="______km198">#REF!</definedName>
    <definedName name="______lap1">#REF!</definedName>
    <definedName name="______lap2">#REF!</definedName>
    <definedName name="______MAC12">#REF!</definedName>
    <definedName name="______MAC46">#REF!</definedName>
    <definedName name="______NCL100">#REF!</definedName>
    <definedName name="______NCL200">#REF!</definedName>
    <definedName name="______NCL250">#REF!</definedName>
    <definedName name="______NET2">#REF!</definedName>
    <definedName name="______nin190">#REF!</definedName>
    <definedName name="______NSO2" localSheetId="3" hidden="1">{"'Sheet1'!$L$16"}</definedName>
    <definedName name="______NSO2" hidden="1">{"'Sheet1'!$L$16"}</definedName>
    <definedName name="______PA3" localSheetId="3" hidden="1">{"'Sheet1'!$L$16"}</definedName>
    <definedName name="______PA3"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PL1242">#REF!</definedName>
    <definedName name="______sat10">#REF!</definedName>
    <definedName name="______sat14">#REF!</definedName>
    <definedName name="______sat16">#REF!</definedName>
    <definedName name="______sat20">#REF!</definedName>
    <definedName name="______sat8">#REF!</definedName>
    <definedName name="______sc1">#REF!</definedName>
    <definedName name="______SC2">#REF!</definedName>
    <definedName name="______sc3">#REF!</definedName>
    <definedName name="______slg1">#REF!</definedName>
    <definedName name="______slg2">#REF!</definedName>
    <definedName name="______slg3">#REF!</definedName>
    <definedName name="______slg4">#REF!</definedName>
    <definedName name="______slg5">#REF!</definedName>
    <definedName name="______slg6">#REF!</definedName>
    <definedName name="______SN3">#REF!</definedName>
    <definedName name="______sua20">#REF!</definedName>
    <definedName name="______sua30">#REF!</definedName>
    <definedName name="______TB1">#REF!</definedName>
    <definedName name="______TH1">#REF!</definedName>
    <definedName name="______TH2">#REF!</definedName>
    <definedName name="______TH3">#REF!</definedName>
    <definedName name="______TK155">#REF!</definedName>
    <definedName name="______TK422">#REF!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VL100">#REF!</definedName>
    <definedName name="______vl2" localSheetId="3" hidden="1">{"'Sheet1'!$L$16"}</definedName>
    <definedName name="______vl2" hidden="1">{"'Sheet1'!$L$16"}</definedName>
    <definedName name="______VL250">#REF!</definedName>
    <definedName name="_____a1" localSheetId="3" hidden="1">{"'Sheet1'!$L$16"}</definedName>
    <definedName name="_____a1" hidden="1">{"'Sheet1'!$L$16"}</definedName>
    <definedName name="_____boi1">#REF!</definedName>
    <definedName name="_____boi2">#REF!</definedName>
    <definedName name="_____boi3">#REF!</definedName>
    <definedName name="_____boi4">#REF!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ON1">#REF!</definedName>
    <definedName name="_____CON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n400">#REF!</definedName>
    <definedName name="_____ddn600">#REF!</definedName>
    <definedName name="_____gon4">#REF!</definedName>
    <definedName name="_____h1" localSheetId="3" hidden="1">{"'Sheet1'!$L$16"}</definedName>
    <definedName name="_____h1" hidden="1">{"'Sheet1'!$L$16"}</definedName>
    <definedName name="_____h10" localSheetId="3" hidden="1">{#N/A,#N/A,FALSE,"Chi tiÆt"}</definedName>
    <definedName name="_____h10" hidden="1">{#N/A,#N/A,FALSE,"Chi tiÆt"}</definedName>
    <definedName name="_____h2" localSheetId="3" hidden="1">{"'Sheet1'!$L$16"}</definedName>
    <definedName name="_____h2" hidden="1">{"'Sheet1'!$L$16"}</definedName>
    <definedName name="_____h3" localSheetId="3" hidden="1">{"'Sheet1'!$L$16"}</definedName>
    <definedName name="_____h3" hidden="1">{"'Sheet1'!$L$16"}</definedName>
    <definedName name="_____h5" localSheetId="3" hidden="1">{"'Sheet1'!$L$16"}</definedName>
    <definedName name="_____h5" hidden="1">{"'Sheet1'!$L$16"}</definedName>
    <definedName name="_____h6" localSheetId="3" hidden="1">{"'Sheet1'!$L$16"}</definedName>
    <definedName name="_____h6" hidden="1">{"'Sheet1'!$L$16"}</definedName>
    <definedName name="_____h7" localSheetId="3" hidden="1">{"'Sheet1'!$L$16"}</definedName>
    <definedName name="_____h7" hidden="1">{"'Sheet1'!$L$16"}</definedName>
    <definedName name="_____h8" localSheetId="3" hidden="1">{"'Sheet1'!$L$16"}</definedName>
    <definedName name="_____h8" hidden="1">{"'Sheet1'!$L$16"}</definedName>
    <definedName name="_____h9" localSheetId="3" hidden="1">{"'Sheet1'!$L$16"}</definedName>
    <definedName name="_____h9" hidden="1">{"'Sheet1'!$L$16"}</definedName>
    <definedName name="_____km190">#REF!</definedName>
    <definedName name="_____km191">#REF!</definedName>
    <definedName name="_____km192">#REF!</definedName>
    <definedName name="_____km196">#REF!</definedName>
    <definedName name="_____lap1">#REF!</definedName>
    <definedName name="_____lap2">#REF!</definedName>
    <definedName name="_____MAC12">#REF!</definedName>
    <definedName name="_____MAC46">#REF!</definedName>
    <definedName name="_____NET2">#REF!</definedName>
    <definedName name="_____NSO2" localSheetId="3" hidden="1">{"'Sheet1'!$L$16"}</definedName>
    <definedName name="_____NSO2" hidden="1">{"'Sheet1'!$L$16"}</definedName>
    <definedName name="_____PA3" localSheetId="3" hidden="1">{"'Sheet1'!$L$16"}</definedName>
    <definedName name="_____PA3"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PL1242">#REF!</definedName>
    <definedName name="_____sat10">#REF!</definedName>
    <definedName name="_____sat14">#REF!</definedName>
    <definedName name="_____sat16">#REF!</definedName>
    <definedName name="_____sat20">#REF!</definedName>
    <definedName name="_____sat8">#REF!</definedName>
    <definedName name="_____sc1">#REF!</definedName>
    <definedName name="_____SC2">#REF!</definedName>
    <definedName name="_____sc3">#REF!</definedName>
    <definedName name="_____slg1">#REF!</definedName>
    <definedName name="_____slg2">#REF!</definedName>
    <definedName name="_____slg3">#REF!</definedName>
    <definedName name="_____slg4">#REF!</definedName>
    <definedName name="_____slg5">#REF!</definedName>
    <definedName name="_____slg6">#REF!</definedName>
    <definedName name="_____TH1">#REF!</definedName>
    <definedName name="_____TH2">#REF!</definedName>
    <definedName name="_____TH3">#REF!</definedName>
    <definedName name="_____TK155">#REF!</definedName>
    <definedName name="_____TK422">#REF!</definedName>
    <definedName name="_____TL1">#REF!</definedName>
    <definedName name="_____TL2">#REF!</definedName>
    <definedName name="_____TLA120">#REF!</definedName>
    <definedName name="_____TLA35">#REF!</definedName>
    <definedName name="_____TLA50">#REF!</definedName>
    <definedName name="_____TLA70">#REF!</definedName>
    <definedName name="_____TLA95">#REF!</definedName>
    <definedName name="_____vl2" localSheetId="3" hidden="1">{"'Sheet1'!$L$16"}</definedName>
    <definedName name="_____vl2" hidden="1">{"'Sheet1'!$L$16"}</definedName>
    <definedName name="____boi1">#REF!</definedName>
    <definedName name="____boi2">#REF!</definedName>
    <definedName name="____boi3">#REF!</definedName>
    <definedName name="____boi4">#REF!</definedName>
    <definedName name="____btm10">#REF!</definedName>
    <definedName name="____btm1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ON1">#REF!</definedName>
    <definedName name="____CON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n400">#REF!</definedName>
    <definedName name="____ddn600">#REF!</definedName>
    <definedName name="____gon4">#REF!</definedName>
    <definedName name="____h1" localSheetId="3" hidden="1">{"'Sheet1'!$L$16"}</definedName>
    <definedName name="____h1" hidden="1">{"'Sheet1'!$L$16"}</definedName>
    <definedName name="____h10" localSheetId="3" hidden="1">{#N/A,#N/A,FALSE,"Chi tiÆt"}</definedName>
    <definedName name="____h10" hidden="1">{#N/A,#N/A,FALSE,"Chi tiÆt"}</definedName>
    <definedName name="____h2" localSheetId="3" hidden="1">{"'Sheet1'!$L$16"}</definedName>
    <definedName name="____h2" hidden="1">{"'Sheet1'!$L$16"}</definedName>
    <definedName name="____h3" localSheetId="3" hidden="1">{"'Sheet1'!$L$16"}</definedName>
    <definedName name="____h3" hidden="1">{"'Sheet1'!$L$16"}</definedName>
    <definedName name="____h5" localSheetId="3" hidden="1">{"'Sheet1'!$L$16"}</definedName>
    <definedName name="____h5" hidden="1">{"'Sheet1'!$L$16"}</definedName>
    <definedName name="____h6" localSheetId="3" hidden="1">{"'Sheet1'!$L$16"}</definedName>
    <definedName name="____h6" hidden="1">{"'Sheet1'!$L$16"}</definedName>
    <definedName name="____h7" localSheetId="3" hidden="1">{"'Sheet1'!$L$16"}</definedName>
    <definedName name="____h7" hidden="1">{"'Sheet1'!$L$16"}</definedName>
    <definedName name="____h8" localSheetId="3" hidden="1">{"'Sheet1'!$L$16"}</definedName>
    <definedName name="____h8" hidden="1">{"'Sheet1'!$L$16"}</definedName>
    <definedName name="____h9" localSheetId="3" hidden="1">{"'Sheet1'!$L$16"}</definedName>
    <definedName name="____h9" hidden="1">{"'Sheet1'!$L$16"}</definedName>
    <definedName name="____hom2">#REF!</definedName>
    <definedName name="____KM188">#REF!</definedName>
    <definedName name="____km189">#REF!</definedName>
    <definedName name="____km190">#REF!</definedName>
    <definedName name="____km191">#REF!</definedName>
    <definedName name="____km192">#REF!</definedName>
    <definedName name="____km193">#REF!</definedName>
    <definedName name="____km194">#REF!</definedName>
    <definedName name="____km195">#REF!</definedName>
    <definedName name="____km197">#REF!</definedName>
    <definedName name="____km198">#REF!</definedName>
    <definedName name="____lap1">#REF!</definedName>
    <definedName name="____lap2">#REF!</definedName>
    <definedName name="____MAC12">#REF!</definedName>
    <definedName name="____MAC46">#REF!</definedName>
    <definedName name="____NCL100">#REF!</definedName>
    <definedName name="____NCL200">#REF!</definedName>
    <definedName name="____NCL250">#REF!</definedName>
    <definedName name="____NET2">#REF!</definedName>
    <definedName name="____nin190">#REF!</definedName>
    <definedName name="____NSO2" localSheetId="3" hidden="1">{"'Sheet1'!$L$16"}</definedName>
    <definedName name="____NSO2" hidden="1">{"'Sheet1'!$L$16"}</definedName>
    <definedName name="____PA3" localSheetId="3" hidden="1">{"'Sheet1'!$L$16"}</definedName>
    <definedName name="____PA3"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PL1242">#REF!</definedName>
    <definedName name="____sat10">#REF!</definedName>
    <definedName name="____sat14">#REF!</definedName>
    <definedName name="____sat16">#REF!</definedName>
    <definedName name="____sat20">#REF!</definedName>
    <definedName name="____sat8">#REF!</definedName>
    <definedName name="____sc1">#REF!</definedName>
    <definedName name="____SC2">#REF!</definedName>
    <definedName name="____sc3">#REF!</definedName>
    <definedName name="____slg1">#REF!</definedName>
    <definedName name="____slg2">#REF!</definedName>
    <definedName name="____slg3">#REF!</definedName>
    <definedName name="____slg4">#REF!</definedName>
    <definedName name="____slg5">#REF!</definedName>
    <definedName name="____slg6">#REF!</definedName>
    <definedName name="____SN3">#REF!</definedName>
    <definedName name="____sua20">#REF!</definedName>
    <definedName name="____sua30">#REF!</definedName>
    <definedName name="____TB1">#REF!</definedName>
    <definedName name="____TH1">#REF!</definedName>
    <definedName name="____TH2">#REF!</definedName>
    <definedName name="____TH3">#REF!</definedName>
    <definedName name="____TK155">#REF!</definedName>
    <definedName name="____TK422">#REF!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VL100">#REF!</definedName>
    <definedName name="____vl2" localSheetId="3" hidden="1">{"'Sheet1'!$L$16"}</definedName>
    <definedName name="____vl2" hidden="1">{"'Sheet1'!$L$16"}</definedName>
    <definedName name="____VL250">#REF!</definedName>
    <definedName name="___a1" localSheetId="3" hidden="1">{"'Sheet1'!$L$16"}</definedName>
    <definedName name="___a1" hidden="1">{"'Sheet1'!$L$16"}</definedName>
    <definedName name="___boi1">#REF!</definedName>
    <definedName name="___boi2">#REF!</definedName>
    <definedName name="___boi3">#REF!</definedName>
    <definedName name="___boi4">#REF!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gon4">#REF!</definedName>
    <definedName name="___h1" localSheetId="3" hidden="1">{"'Sheet1'!$L$16"}</definedName>
    <definedName name="___h1" hidden="1">{"'Sheet1'!$L$16"}</definedName>
    <definedName name="___h10" localSheetId="3" hidden="1">{#N/A,#N/A,FALSE,"Chi tiÆt"}</definedName>
    <definedName name="___h10" hidden="1">{#N/A,#N/A,FALSE,"Chi tiÆt"}</definedName>
    <definedName name="___h2" localSheetId="3" hidden="1">{"'Sheet1'!$L$16"}</definedName>
    <definedName name="___h2" hidden="1">{"'Sheet1'!$L$16"}</definedName>
    <definedName name="___h3" localSheetId="3" hidden="1">{"'Sheet1'!$L$16"}</definedName>
    <definedName name="___h3" hidden="1">{"'Sheet1'!$L$16"}</definedName>
    <definedName name="___h5" localSheetId="3" hidden="1">{"'Sheet1'!$L$16"}</definedName>
    <definedName name="___h5" hidden="1">{"'Sheet1'!$L$16"}</definedName>
    <definedName name="___h6" localSheetId="3" hidden="1">{"'Sheet1'!$L$16"}</definedName>
    <definedName name="___h6" hidden="1">{"'Sheet1'!$L$16"}</definedName>
    <definedName name="___h7" localSheetId="3" hidden="1">{"'Sheet1'!$L$16"}</definedName>
    <definedName name="___h7" hidden="1">{"'Sheet1'!$L$16"}</definedName>
    <definedName name="___h8" localSheetId="3" hidden="1">{"'Sheet1'!$L$16"}</definedName>
    <definedName name="___h8" hidden="1">{"'Sheet1'!$L$16"}</definedName>
    <definedName name="___h9" localSheetId="3" hidden="1">{"'Sheet1'!$L$16"}</definedName>
    <definedName name="___h9" hidden="1">{"'Sheet1'!$L$16"}</definedName>
    <definedName name="___hom2">#REF!</definedName>
    <definedName name="___KM188">#REF!</definedName>
    <definedName name="___km189">#REF!</definedName>
    <definedName name="___km190">#REF!</definedName>
    <definedName name="___km191">#REF!</definedName>
    <definedName name="___km192">#REF!</definedName>
    <definedName name="___km193">#REF!</definedName>
    <definedName name="___km194">#REF!</definedName>
    <definedName name="___km195">#REF!</definedName>
    <definedName name="___km196">#REF!</definedName>
    <definedName name="___km197">#REF!</definedName>
    <definedName name="___km198">#REF!</definedName>
    <definedName name="___lap1">#REF!</definedName>
    <definedName name="___lap2">#REF!</definedName>
    <definedName name="___MAC12">#REF!</definedName>
    <definedName name="___MAC46">#REF!</definedName>
    <definedName name="___NCL100">#REF!</definedName>
    <definedName name="___NCL200">#REF!</definedName>
    <definedName name="___NCL250">#REF!</definedName>
    <definedName name="___NET2">#REF!</definedName>
    <definedName name="___nin190">#REF!</definedName>
    <definedName name="___NSO2" localSheetId="3" hidden="1">{"'Sheet1'!$L$16"}</definedName>
    <definedName name="___NSO2" hidden="1">{"'Sheet1'!$L$16"}</definedName>
    <definedName name="___PA3" localSheetId="3"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1242">#REF!</definedName>
    <definedName name="___sat10">#REF!</definedName>
    <definedName name="___sat14">#REF!</definedName>
    <definedName name="___sat16">#REF!</definedName>
    <definedName name="___sat20">#REF!</definedName>
    <definedName name="___sat8">#REF!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N3">#REF!</definedName>
    <definedName name="___sua20">#REF!</definedName>
    <definedName name="___sua30">#REF!</definedName>
    <definedName name="___TB1">#REF!</definedName>
    <definedName name="___TH1">#REF!</definedName>
    <definedName name="___TH2">#REF!</definedName>
    <definedName name="___TH3">#REF!</definedName>
    <definedName name="___TK155">#REF!</definedName>
    <definedName name="___TK422">#REF!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VL100">#REF!</definedName>
    <definedName name="___vl2" localSheetId="3" hidden="1">{"'Sheet1'!$L$16"}</definedName>
    <definedName name="___vl2" hidden="1">{"'Sheet1'!$L$16"}</definedName>
    <definedName name="___VL250">#REF!</definedName>
    <definedName name="__a1" localSheetId="3" hidden="1">{"'Sheet1'!$L$16"}</definedName>
    <definedName name="__a1" hidden="1">{"'Sheet1'!$L$16"}</definedName>
    <definedName name="__boi1">#REF!</definedName>
    <definedName name="__boi2">#REF!</definedName>
    <definedName name="__boi3">#REF!</definedName>
    <definedName name="__boi4">#REF!</definedName>
    <definedName name="__btm10">#REF!</definedName>
    <definedName name="__btm1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ON1">#REF!</definedName>
    <definedName name="__CON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n400">#REF!</definedName>
    <definedName name="__ddn600">#REF!</definedName>
    <definedName name="__gon4">#REF!</definedName>
    <definedName name="__h1" localSheetId="3" hidden="1">{"'Sheet1'!$L$16"}</definedName>
    <definedName name="__h1" hidden="1">{"'Sheet1'!$L$16"}</definedName>
    <definedName name="__h10" localSheetId="3" hidden="1">{#N/A,#N/A,FALSE,"Chi tiÆt"}</definedName>
    <definedName name="__h10" hidden="1">{#N/A,#N/A,FALSE,"Chi tiÆt"}</definedName>
    <definedName name="__h2" localSheetId="3" hidden="1">{"'Sheet1'!$L$16"}</definedName>
    <definedName name="__h2" hidden="1">{"'Sheet1'!$L$16"}</definedName>
    <definedName name="__h3" localSheetId="3" hidden="1">{"'Sheet1'!$L$16"}</definedName>
    <definedName name="__h3" hidden="1">{"'Sheet1'!$L$16"}</definedName>
    <definedName name="__h5" localSheetId="3" hidden="1">{"'Sheet1'!$L$16"}</definedName>
    <definedName name="__h5" hidden="1">{"'Sheet1'!$L$16"}</definedName>
    <definedName name="__h6" localSheetId="3" hidden="1">{"'Sheet1'!$L$16"}</definedName>
    <definedName name="__h6" hidden="1">{"'Sheet1'!$L$16"}</definedName>
    <definedName name="__h7" localSheetId="3" hidden="1">{"'Sheet1'!$L$16"}</definedName>
    <definedName name="__h7" hidden="1">{"'Sheet1'!$L$16"}</definedName>
    <definedName name="__h8" localSheetId="3" hidden="1">{"'Sheet1'!$L$16"}</definedName>
    <definedName name="__h8" hidden="1">{"'Sheet1'!$L$16"}</definedName>
    <definedName name="__h9" localSheetId="3" hidden="1">{"'Sheet1'!$L$16"}</definedName>
    <definedName name="__h9" hidden="1">{"'Sheet1'!$L$16"}</definedName>
    <definedName name="__hom2">#REF!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Lan1" localSheetId="3" hidden="1">{"'Sheet1'!$L$16"}</definedName>
    <definedName name="__Lan1" hidden="1">{"'Sheet1'!$L$16"}</definedName>
    <definedName name="__LAN3" localSheetId="3" hidden="1">{"'Sheet1'!$L$16"}</definedName>
    <definedName name="__LAN3" hidden="1">{"'Sheet1'!$L$16"}</definedName>
    <definedName name="__lap1">#REF!</definedName>
    <definedName name="__lap2">#REF!</definedName>
    <definedName name="__MAC12">#REF!</definedName>
    <definedName name="__MAC46">#REF!</definedName>
    <definedName name="__NCL100">#REF!</definedName>
    <definedName name="__NCL200">#REF!</definedName>
    <definedName name="__NCL250">#REF!</definedName>
    <definedName name="__NET2">#REF!</definedName>
    <definedName name="__nin190">#REF!</definedName>
    <definedName name="__NSO2" localSheetId="3" hidden="1">{"'Sheet1'!$L$16"}</definedName>
    <definedName name="__NSO2" hidden="1">{"'Sheet1'!$L$16"}</definedName>
    <definedName name="__PA3" localSheetId="3" hidden="1">{"'Sheet1'!$L$16"}</definedName>
    <definedName name="__PA3"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PL1242">#REF!</definedName>
    <definedName name="__sat10">#REF!</definedName>
    <definedName name="__sat14">#REF!</definedName>
    <definedName name="__sat16">#REF!</definedName>
    <definedName name="__sat20">#REF!</definedName>
    <definedName name="__sat8">#REF!</definedName>
    <definedName name="__sc1">#REF!</definedName>
    <definedName name="__SC2">#REF!</definedName>
    <definedName name="__sc3">#REF!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ua20">#REF!</definedName>
    <definedName name="__sua30">#REF!</definedName>
    <definedName name="__TB1">#REF!</definedName>
    <definedName name="__TH1">#REF!</definedName>
    <definedName name="__TH2">#REF!</definedName>
    <definedName name="__TH3">#REF!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t3" localSheetId="3" hidden="1">{"'Sheet1'!$L$16"}</definedName>
    <definedName name="__tt3" hidden="1">{"'Sheet1'!$L$16"}</definedName>
    <definedName name="__TT31" localSheetId="3" hidden="1">{"'Sheet1'!$L$16"}</definedName>
    <definedName name="__TT31" hidden="1">{"'Sheet1'!$L$16"}</definedName>
    <definedName name="__VL100">#REF!</definedName>
    <definedName name="__vl2" localSheetId="3" hidden="1">{"'Sheet1'!$L$16"}</definedName>
    <definedName name="__vl2" hidden="1">{"'Sheet1'!$L$16"}</definedName>
    <definedName name="__VL250">#REF!</definedName>
    <definedName name="_1">#REF!</definedName>
    <definedName name="_1000A01">#N/A</definedName>
    <definedName name="_1BA2500" localSheetId="3">#REF!</definedName>
    <definedName name="_1BA2500">#REF!</definedName>
    <definedName name="_1BA3250" localSheetId="3">#REF!</definedName>
    <definedName name="_1BA3250">#REF!</definedName>
    <definedName name="_1BA400P" localSheetId="3">#REF!</definedName>
    <definedName name="_1BA400P">#REF!</definedName>
    <definedName name="_1CAP00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TT01">#REF!</definedName>
    <definedName name="_1TCD101">#REF!</definedName>
    <definedName name="_1TCD201">#REF!</definedName>
    <definedName name="_1TD2001">#REF!</definedName>
    <definedName name="_1TIHT01">#REF!</definedName>
    <definedName name="_1TRU121">#REF!</definedName>
    <definedName name="_2">#REF!</definedName>
    <definedName name="_2BLA100">#REF!</definedName>
    <definedName name="_2DAL201">#REF!</definedName>
    <definedName name="_3BLXMD">#REF!</definedName>
    <definedName name="_3TU0609">#REF!</definedName>
    <definedName name="_40x4">5100</definedName>
    <definedName name="_413565">"hdong+Sheet1!$A$2:$J$24263!$A$13374"</definedName>
    <definedName name="_4CNT240" localSheetId="3">#REF!</definedName>
    <definedName name="_4CNT240">#REF!</definedName>
    <definedName name="_4CTL240" localSheetId="3">#REF!</definedName>
    <definedName name="_4CTL240">#REF!</definedName>
    <definedName name="_4FCO100" localSheetId="3">#REF!</definedName>
    <definedName name="_4FCO100">#REF!</definedName>
    <definedName name="_4HDCTT4">#REF!</definedName>
    <definedName name="_4HNCTT4">#REF!</definedName>
    <definedName name="_4LBCO01">#REF!</definedName>
    <definedName name="_a1" localSheetId="3"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an2" localSheetId="3" hidden="1">{"'Sheet1'!$L$16"}</definedName>
    <definedName name="_ban2" hidden="1">{"'Sheet1'!$L$16"}</definedName>
    <definedName name="_boi1">#REF!</definedName>
    <definedName name="_boi2">#REF!</definedName>
    <definedName name="_boi3">#REF!</definedName>
    <definedName name="_boi4">#REF!</definedName>
    <definedName name="_btm10">#REF!</definedName>
    <definedName name="_btm1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ep1" localSheetId="3" hidden="1">{"'Sheet1'!$L$16"}</definedName>
    <definedName name="_cep1" hidden="1">{"'Sheet1'!$L$16"}</definedName>
    <definedName name="_CN1" localSheetId="3" hidden="1">{"'Sheet1'!$L$16"}</definedName>
    <definedName name="_CN1" hidden="1">{"'Sheet1'!$L$16"}</definedName>
    <definedName name="_Coc39" localSheetId="3" hidden="1">{"'Sheet1'!$L$16"}</definedName>
    <definedName name="_Coc39" hidden="1">{"'Sheet1'!$L$16"}</definedName>
    <definedName name="_CON1">#REF!</definedName>
    <definedName name="_CON2">#REF!</definedName>
    <definedName name="_CT250" localSheetId="3">'[1]dongia (2)'!#REF!</definedName>
    <definedName name="_CT250">'[1]dongia (2)'!#REF!</definedName>
    <definedName name="_CV1">[2]gvl!$N$17</definedName>
    <definedName name="_dai1" localSheetId="3">#REF!</definedName>
    <definedName name="_dai1">#REF!</definedName>
    <definedName name="_dai2" localSheetId="3">#REF!</definedName>
    <definedName name="_dai2">#REF!</definedName>
    <definedName name="_dai3" localSheetId="3">#REF!</definedName>
    <definedName name="_dai3">#REF!</definedName>
    <definedName name="_dai4">#REF!</definedName>
    <definedName name="_dai5">#REF!</definedName>
    <definedName name="_dai6">#REF!</definedName>
    <definedName name="_dan1">#REF!</definedName>
    <definedName name="_dan2">#REF!</definedName>
    <definedName name="_ddn400">#REF!</definedName>
    <definedName name="_ddn600">#REF!</definedName>
    <definedName name="_Fill" hidden="1">#REF!</definedName>
    <definedName name="_xlnm._FilterDatabase" hidden="1">#REF!</definedName>
    <definedName name="_Goi8" localSheetId="3" hidden="1">{"'Sheet1'!$L$16"}</definedName>
    <definedName name="_Goi8" hidden="1">{"'Sheet1'!$L$16"}</definedName>
    <definedName name="_gon4">#REF!</definedName>
    <definedName name="_h1" localSheetId="3" hidden="1">{"'Sheet1'!$L$16"}</definedName>
    <definedName name="_h1" hidden="1">{"'Sheet1'!$L$16"}</definedName>
    <definedName name="_h10" localSheetId="3" hidden="1">{#N/A,#N/A,FALSE,"Chi tiÆt"}</definedName>
    <definedName name="_h10" hidden="1">{#N/A,#N/A,FALSE,"Chi tiÆt"}</definedName>
    <definedName name="_h2" localSheetId="3" hidden="1">{"'Sheet1'!$L$16"}</definedName>
    <definedName name="_h2" hidden="1">{"'Sheet1'!$L$16"}</definedName>
    <definedName name="_h3" localSheetId="3" hidden="1">{"'Sheet1'!$L$16"}</definedName>
    <definedName name="_h3" hidden="1">{"'Sheet1'!$L$16"}</definedName>
    <definedName name="_h5" localSheetId="3" hidden="1">{"'Sheet1'!$L$16"}</definedName>
    <definedName name="_h5" hidden="1">{"'Sheet1'!$L$16"}</definedName>
    <definedName name="_h6" localSheetId="3" hidden="1">{"'Sheet1'!$L$16"}</definedName>
    <definedName name="_h6" hidden="1">{"'Sheet1'!$L$16"}</definedName>
    <definedName name="_h7" localSheetId="3" hidden="1">{"'Sheet1'!$L$16"}</definedName>
    <definedName name="_h7" hidden="1">{"'Sheet1'!$L$16"}</definedName>
    <definedName name="_h8" localSheetId="3" hidden="1">{"'Sheet1'!$L$16"}</definedName>
    <definedName name="_h8" hidden="1">{"'Sheet1'!$L$16"}</definedName>
    <definedName name="_h9" localSheetId="3" hidden="1">{"'Sheet1'!$L$16"}</definedName>
    <definedName name="_h9" hidden="1">{"'Sheet1'!$L$16"}</definedName>
    <definedName name="_hom2">#REF!</definedName>
    <definedName name="_hsm2">1.1289</definedName>
    <definedName name="_hu2" localSheetId="3" hidden="1">{"'Sheet1'!$L$16"}</definedName>
    <definedName name="_hu2" hidden="1">{"'Sheet1'!$L$16"}</definedName>
    <definedName name="_hu5" localSheetId="3" hidden="1">{"'Sheet1'!$L$16"}</definedName>
    <definedName name="_hu5" hidden="1">{"'Sheet1'!$L$16"}</definedName>
    <definedName name="_hu6" localSheetId="3" hidden="1">{"'Sheet1'!$L$16"}</definedName>
    <definedName name="_hu6" hidden="1">{"'Sheet1'!$L$16"}</definedName>
    <definedName name="_HUY1" localSheetId="3" hidden="1">{"'Sheet1'!$L$16"}</definedName>
    <definedName name="_HUY1" hidden="1">{"'Sheet1'!$L$16"}</definedName>
    <definedName name="_HUY2" localSheetId="3" hidden="1">{"'Sheet1'!$L$16"}</definedName>
    <definedName name="_HUY2" hidden="1">{"'Sheet1'!$L$16"}</definedName>
    <definedName name="_isc1">0.035</definedName>
    <definedName name="_isc2">0.02</definedName>
    <definedName name="_isc3">0.054</definedName>
    <definedName name="_Key1" localSheetId="3" hidden="1">#REF!</definedName>
    <definedName name="_Key1" hidden="1">#REF!</definedName>
    <definedName name="_Key2" localSheetId="3" hidden="1">#REF!</definedName>
    <definedName name="_Key2" hidden="1">#REF!</definedName>
    <definedName name="_KM188" localSheetId="3">#REF!</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Lan1" localSheetId="3" hidden="1">{"'Sheet1'!$L$16"}</definedName>
    <definedName name="_Lan1" hidden="1">{"'Sheet1'!$L$16"}</definedName>
    <definedName name="_LAN3" localSheetId="3" hidden="1">{"'Sheet1'!$L$16"}</definedName>
    <definedName name="_LAN3" hidden="1">{"'Sheet1'!$L$16"}</definedName>
    <definedName name="_lap1">#REF!</definedName>
    <definedName name="_lap2">#REF!</definedName>
    <definedName name="_lk2" localSheetId="3" hidden="1">{"'Sheet1'!$L$16"}</definedName>
    <definedName name="_lk2" hidden="1">{"'Sheet1'!$L$16"}</definedName>
    <definedName name="_MAC12">#REF!</definedName>
    <definedName name="_MAC46">#REF!</definedName>
    <definedName name="_n1">[3]COTTHEPMO!$J$6</definedName>
    <definedName name="_N1b2" localSheetId="3">[4]NhanCong!$G$9</definedName>
    <definedName name="_N1b2">[4]NhanCong!$G$9</definedName>
    <definedName name="_N1b3" localSheetId="3">[4]NhanCong!$G$19</definedName>
    <definedName name="_N1b3">[4]NhanCong!$G$19</definedName>
    <definedName name="_N1b4" localSheetId="3">[4]NhanCong!$G$29</definedName>
    <definedName name="_N1b4">[4]NhanCong!$G$29</definedName>
    <definedName name="_N1b5" localSheetId="3">[4]NhanCong!$G$39</definedName>
    <definedName name="_N1b5">[4]NhanCong!$G$39</definedName>
    <definedName name="_N1b6" localSheetId="3">[4]NhanCong!$G$49</definedName>
    <definedName name="_N1b6">[4]NhanCong!$G$49</definedName>
    <definedName name="_N1b7" localSheetId="3">[4]NhanCong!$G$59</definedName>
    <definedName name="_N1b7">[4]NhanCong!$G$59</definedName>
    <definedName name="_NCL100" localSheetId="3">#REF!</definedName>
    <definedName name="_NCL100">#REF!</definedName>
    <definedName name="_NCL200" localSheetId="3">#REF!</definedName>
    <definedName name="_NCL200">#REF!</definedName>
    <definedName name="_NCL250" localSheetId="3">#REF!</definedName>
    <definedName name="_NCL250">#REF!</definedName>
    <definedName name="_NET2">#REF!</definedName>
    <definedName name="_nga3">[2]gvl!$N$17</definedName>
    <definedName name="_nin190" localSheetId="3">#REF!</definedName>
    <definedName name="_nin190">#REF!</definedName>
    <definedName name="_NSO2" localSheetId="3" hidden="1">{"'Sheet1'!$L$16"}</definedName>
    <definedName name="_NSO2" hidden="1">{"'Sheet1'!$L$16"}</definedName>
    <definedName name="_Order1" hidden="1">255</definedName>
    <definedName name="_Order2" hidden="1">255</definedName>
    <definedName name="_PA3" localSheetId="3" hidden="1">{"'Sheet1'!$L$16"}</definedName>
    <definedName name="_PA3" hidden="1">{"'Sheet1'!$L$16"}</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PL1242">#REF!</definedName>
    <definedName name="_Pl2" localSheetId="3" hidden="1">{"'Sheet1'!$L$16"}</definedName>
    <definedName name="_Pl2" hidden="1">{"'Sheet1'!$L$16"}</definedName>
    <definedName name="_sat10">#REF!</definedName>
    <definedName name="_sat14">#REF!</definedName>
    <definedName name="_sat16">#REF!</definedName>
    <definedName name="_sat20">#REF!</definedName>
    <definedName name="_sat8">#REF!</definedName>
    <definedName name="_sc1">#REF!</definedName>
    <definedName name="_SC2">#REF!</definedName>
    <definedName name="_sc3">#REF!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C10">0.3456</definedName>
    <definedName name="_SOC8">0.2827</definedName>
    <definedName name="_Sort" localSheetId="3" hidden="1">#REF!</definedName>
    <definedName name="_Sort" hidden="1">#REF!</definedName>
    <definedName name="_Sta1">531.877</definedName>
    <definedName name="_Sta2">561.952</definedName>
    <definedName name="_Sta3">712.202</definedName>
    <definedName name="_Sta4">762.202</definedName>
    <definedName name="_sua20" localSheetId="3">#REF!</definedName>
    <definedName name="_sua20">#REF!</definedName>
    <definedName name="_sua30" localSheetId="3">#REF!</definedName>
    <definedName name="_sua30">#REF!</definedName>
    <definedName name="_TB1" localSheetId="3">#REF!</definedName>
    <definedName name="_TB1">#REF!</definedName>
    <definedName name="_tb2" localSheetId="3">BlankMacro1</definedName>
    <definedName name="_tb2">BlankMacro1</definedName>
    <definedName name="_TH1" localSheetId="3">#REF!</definedName>
    <definedName name="_TH1">#REF!</definedName>
    <definedName name="_TH2" localSheetId="3">#REF!</definedName>
    <definedName name="_TH2">#REF!</definedName>
    <definedName name="_TH3" localSheetId="3">#REF!</definedName>
    <definedName name="_TH3">#REF!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ru21" localSheetId="3" hidden="1">{"'Sheet1'!$L$16"}</definedName>
    <definedName name="_Tru21" hidden="1">{"'Sheet1'!$L$16"}</definedName>
    <definedName name="_tt3" localSheetId="3" hidden="1">{"'Sheet1'!$L$16"}</definedName>
    <definedName name="_tt3" hidden="1">{"'Sheet1'!$L$16"}</definedName>
    <definedName name="_TT31" localSheetId="3" hidden="1">{"'Sheet1'!$L$16"}</definedName>
    <definedName name="_TT31" hidden="1">{"'Sheet1'!$L$16"}</definedName>
    <definedName name="_VL100">#REF!</definedName>
    <definedName name="_vl2" localSheetId="3" hidden="1">{"'Sheet1'!$L$16"}</definedName>
    <definedName name="_vl2" hidden="1">{"'Sheet1'!$L$16"}</definedName>
    <definedName name="_VL250">#REF!</definedName>
    <definedName name="_VM2" localSheetId="3" hidden="1">{"'Sheet1'!$L$16"}</definedName>
    <definedName name="_VM2" hidden="1">{"'Sheet1'!$L$16"}</definedName>
    <definedName name="â" localSheetId="3" hidden="1">{"'Sheet1'!$L$16"}</definedName>
    <definedName name="â"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3">#REF!</definedName>
    <definedName name="A120_">#REF!</definedName>
    <definedName name="a277Print_Titles" localSheetId="3">#REF!</definedName>
    <definedName name="a277Print_Titles">#REF!</definedName>
    <definedName name="A35_" localSheetId="3">#REF!</definedName>
    <definedName name="A35_">#REF!</definedName>
    <definedName name="A50_">#REF!</definedName>
    <definedName name="A6N2">#REF!</definedName>
    <definedName name="A6N3">#REF!</definedName>
    <definedName name="A70_">#REF!</definedName>
    <definedName name="A95_">#REF!</definedName>
    <definedName name="aa">#REF!</definedName>
    <definedName name="abc">#REF!</definedName>
    <definedName name="AC120_">#REF!</definedName>
    <definedName name="AC35_">#REF!</definedName>
    <definedName name="AC50_">#REF!</definedName>
    <definedName name="AC70_">#REF!</definedName>
    <definedName name="AC95_">#REF!</definedName>
    <definedName name="acb">[2]gvl!$N$38</definedName>
    <definedName name="ADADADD" localSheetId="3" hidden="1">{"'Sheet1'!$L$16"}</definedName>
    <definedName name="ADADADD" hidden="1">{"'Sheet1'!$L$16"}</definedName>
    <definedName name="ADAY">#REF!</definedName>
    <definedName name="âdf" localSheetId="3">{"Book5","sæ quü.xls","Dù to¸n x©y dùng nhµ s¶n xuÊt.xls","Than.xls","TiÕn ®é s¶n xuÊt - Th¸ng 9.xls"}</definedName>
    <definedName name="âdf">{"Book5","sæ quü.xls","Dù to¸n x©y dùng nhµ s¶n xuÊt.xls","Than.xls","TiÕn ®é s¶n xuÊt - Th¸ng 9.xls"}</definedName>
    <definedName name="ADP" localSheetId="3">#REF!</definedName>
    <definedName name="ADP">#REF!</definedName>
    <definedName name="AKHAC" localSheetId="3">#REF!</definedName>
    <definedName name="AKHAC">#REF!</definedName>
    <definedName name="All_Item" localSheetId="3">#REF!</definedName>
    <definedName name="All_Item">#REF!</definedName>
    <definedName name="ALPIN">#N/A</definedName>
    <definedName name="ALPJYOU">#N/A</definedName>
    <definedName name="ALPTOI">#N/A</definedName>
    <definedName name="ALTINH" localSheetId="3">#REF!</definedName>
    <definedName name="ALTINH">#REF!</definedName>
    <definedName name="Anguon" localSheetId="3">#REF!</definedName>
    <definedName name="Anguon">#REF!</definedName>
    <definedName name="ANN" localSheetId="3">#REF!</definedName>
    <definedName name="ANN">#REF!</definedName>
    <definedName name="anpha">#REF!</definedName>
    <definedName name="ANQD">#REF!</definedName>
    <definedName name="ANQQH">#REF!</definedName>
    <definedName name="anscount" hidden="1">3</definedName>
    <definedName name="ANSNN" localSheetId="3">#REF!</definedName>
    <definedName name="ANSNN">#REF!</definedName>
    <definedName name="ANSNNxnk" localSheetId="3">#REF!</definedName>
    <definedName name="ANSNNxnk">#REF!</definedName>
    <definedName name="APC" localSheetId="3">#REF!</definedName>
    <definedName name="APC">#REF!</definedName>
    <definedName name="asega" localSheetId="3">{"Thuxm2.xls","Sheet1"}</definedName>
    <definedName name="asega">{"Thuxm2.xls","Sheet1"}</definedName>
    <definedName name="ATGT" localSheetId="3" hidden="1">{"'Sheet1'!$L$16"}</definedName>
    <definedName name="ATGT" hidden="1">{"'Sheet1'!$L$16"}</definedName>
    <definedName name="ATRAM">#REF!</definedName>
    <definedName name="ATW">#REF!</definedName>
    <definedName name="B.nuamat">7.25</definedName>
    <definedName name="b_240">#REF!</definedName>
    <definedName name="b_280">#REF!</definedName>
    <definedName name="b_320">#REF!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chu">#REF!</definedName>
    <definedName name="bb" localSheetId="3">{"Thuxm2.xls","Sheet1"}</definedName>
    <definedName name="bb">{"Thuxm2.xls","Sheet1"}</definedName>
    <definedName name="BCBo" localSheetId="3" hidden="1">{"'Sheet1'!$L$16"}</definedName>
    <definedName name="BCBo" hidden="1">{"'Sheet1'!$L$16"}</definedName>
    <definedName name="BDAY">#REF!</definedName>
    <definedName name="bdd">1.5</definedName>
    <definedName name="beepsound">#REF!</definedName>
    <definedName name="bengam">#REF!</definedName>
    <definedName name="benuoc">#REF!</definedName>
    <definedName name="beta">#REF!</definedName>
    <definedName name="blkh">#REF!</definedName>
    <definedName name="blkh1">#REF!</definedName>
    <definedName name="boa">[2]gvl!$N$17</definedName>
    <definedName name="Book2" localSheetId="3">#REF!</definedName>
    <definedName name="Book2">#REF!</definedName>
    <definedName name="BOQ" localSheetId="3">#REF!</definedName>
    <definedName name="BOQ">#REF!</definedName>
    <definedName name="btchiuaxitm300" localSheetId="3">#REF!</definedName>
    <definedName name="btchiuaxitm300">#REF!</definedName>
    <definedName name="BTchiuaxm200">#REF!</definedName>
    <definedName name="btcocM400">#REF!</definedName>
    <definedName name="BTlotm100">#REF!</definedName>
    <definedName name="btnm3" localSheetId="3" hidden="1">{"'Sheet1'!$L$16"}</definedName>
    <definedName name="btnm3" hidden="1">{"'Sheet1'!$L$16"}</definedName>
    <definedName name="BTRAM">#REF!</definedName>
    <definedName name="BU_CHENH_LECH_DZ0.4KV">#REF!</definedName>
    <definedName name="BU_CHENH_LECH_DZ22KV">#REF!</definedName>
    <definedName name="BU_CHENH_LECH_TBA">#REF!</definedName>
    <definedName name="Bulongma">8700</definedName>
    <definedName name="BVCISUMMARY" localSheetId="3">#REF!</definedName>
    <definedName name="BVCISUMMARY">#REF!</definedName>
    <definedName name="BŸo_cŸo_täng_hìp_giŸ_trÙ_t_i_s_n_câ__Ùnh" localSheetId="3">#REF!</definedName>
    <definedName name="BŸo_cŸo_täng_hìp_giŸ_trÙ_t_i_s_n_câ__Ùnh">#REF!</definedName>
    <definedName name="C.1.1..Phat_tuyen" localSheetId="3">#REF!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a.1111" localSheetId="3">#REF!</definedName>
    <definedName name="ca.1111">#REF!</definedName>
    <definedName name="ca.1111.th" localSheetId="3">#REF!</definedName>
    <definedName name="ca.1111.th">#REF!</definedName>
    <definedName name="CACAU">298161</definedName>
    <definedName name="Can_doi" localSheetId="3">#REF!</definedName>
    <definedName name="Can_doi">#REF!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 localSheetId="3">#REF!</definedName>
    <definedName name="catm">#REF!</definedName>
    <definedName name="catn" localSheetId="3">#REF!</definedName>
    <definedName name="catn">#REF!</definedName>
    <definedName name="CATREC">#N/A</definedName>
    <definedName name="CATSYU">#N/A</definedName>
    <definedName name="catvang" localSheetId="3">#REF!</definedName>
    <definedName name="catvang">#REF!</definedName>
    <definedName name="CCS" localSheetId="3">#REF!</definedName>
    <definedName name="CCS">#REF!</definedName>
    <definedName name="CDAY" localSheetId="3">#REF!</definedName>
    <definedName name="CDAY">#REF!</definedName>
    <definedName name="CDD">#REF!</definedName>
    <definedName name="CDDD">#REF!</definedName>
    <definedName name="CDDD1P">#REF!</definedName>
    <definedName name="CDDD1PHA">#REF!</definedName>
    <definedName name="CDDD3PHA">#REF!</definedName>
    <definedName name="Cdnum">#REF!</definedName>
    <definedName name="CDTK_tim">31.77</definedName>
    <definedName name="cf" localSheetId="3">BlankMacro1</definedName>
    <definedName name="cf">BlankMacro1</definedName>
    <definedName name="CH" localSheetId="3">#REF!</definedName>
    <definedName name="CH">#REF!</definedName>
    <definedName name="chie" localSheetId="3">BlankMacro1</definedName>
    <definedName name="chie">BlankMacro1</definedName>
    <definedName name="chitietbgiang2" localSheetId="3" hidden="1">{"'Sheet1'!$L$16"}</definedName>
    <definedName name="chitietbgiang2" hidden="1">{"'Sheet1'!$L$16"}</definedName>
    <definedName name="chon">#REF!</definedName>
    <definedName name="chon1">#REF!</definedName>
    <definedName name="chon2">#REF!</definedName>
    <definedName name="chon3">#REF!</definedName>
    <definedName name="chung">66</definedName>
    <definedName name="CK" localSheetId="3">#REF!</definedName>
    <definedName name="CK">#REF!</definedName>
    <definedName name="CL" localSheetId="3">#REF!</definedName>
    <definedName name="CL">#REF!</definedName>
    <definedName name="CLECH_0.4" localSheetId="3">#REF!</definedName>
    <definedName name="CLECH_0.4">#REF!</definedName>
    <definedName name="CLVC3">0.1</definedName>
    <definedName name="CLVC35" localSheetId="3">#REF!</definedName>
    <definedName name="CLVC35">#REF!</definedName>
    <definedName name="CLVCTB" localSheetId="3">#REF!</definedName>
    <definedName name="CLVCTB">#REF!</definedName>
    <definedName name="clvl" localSheetId="3">#REF!</definedName>
    <definedName name="clvl">#REF!</definedName>
    <definedName name="cn">#REF!</definedName>
    <definedName name="CNC">#REF!</definedName>
    <definedName name="CND">#REF!</definedName>
    <definedName name="CNG">#REF!</definedName>
    <definedName name="Co">#REF!</definedName>
    <definedName name="coc">#REF!</definedName>
    <definedName name="Coc_60" localSheetId="3" hidden="1">{"'Sheet1'!$L$16"}</definedName>
    <definedName name="Coc_60" hidden="1">{"'Sheet1'!$L$16"}</definedName>
    <definedName name="cocbtct">#REF!</definedName>
    <definedName name="cocot">#REF!</definedName>
    <definedName name="cocott">#REF!</definedName>
    <definedName name="Code" hidden="1">#REF!</definedName>
    <definedName name="Cöï_ly_vaän_chuyeãn">#REF!</definedName>
    <definedName name="CÖÏ_LY_VAÄN_CHUYEÅN">#REF!</definedName>
    <definedName name="Comm" localSheetId="3">BlankMacro1</definedName>
    <definedName name="Comm">BlankMacro1</definedName>
    <definedName name="COMMON" localSheetId="3">#REF!</definedName>
    <definedName name="COMMON">#REF!</definedName>
    <definedName name="comong" localSheetId="3">#REF!</definedName>
    <definedName name="comong">#REF!</definedName>
    <definedName name="CON_EQP_COS" localSheetId="3">#REF!</definedName>
    <definedName name="CON_EQP_COS">#REF!</definedName>
    <definedName name="CON_EQP_COST">#REF!</definedName>
    <definedName name="công" localSheetId="3" hidden="1">{"'Sheet1'!$L$16"}</definedName>
    <definedName name="công" hidden="1">{"'Sheet1'!$L$16"}</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ST_EQ">#REF!</definedName>
    <definedName name="Content1" localSheetId="3">ErrorHandler_1</definedName>
    <definedName name="Content1">ErrorHandler_1</definedName>
    <definedName name="COT" localSheetId="3">#REF!</definedName>
    <definedName name="COT">#REF!</definedName>
    <definedName name="cot7.5" localSheetId="3">#REF!</definedName>
    <definedName name="cot7.5">#REF!</definedName>
    <definedName name="cot8.5" localSheetId="3">#REF!</definedName>
    <definedName name="cot8.5">#REF!</definedName>
    <definedName name="Cotsatma">9726</definedName>
    <definedName name="Cotthepma">9726</definedName>
    <definedName name="cottron" localSheetId="3">#REF!</definedName>
    <definedName name="cottron">#REF!</definedName>
    <definedName name="cotvuong" localSheetId="3">#REF!</definedName>
    <definedName name="cotvuong">#REF!</definedName>
    <definedName name="COVER" localSheetId="3">#REF!</definedName>
    <definedName name="COVER">#REF!</definedName>
    <definedName name="cpmtc">#REF!</definedName>
    <definedName name="cpnc">#REF!</definedName>
    <definedName name="cptt">#REF!</definedName>
    <definedName name="CPVC35">#REF!</definedName>
    <definedName name="CPVCDN">#REF!</definedName>
    <definedName name="cpvl">#REF!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CT1" localSheetId="3" hidden="1">{"'Sheet1'!$L$16"}</definedName>
    <definedName name="CTCT1" hidden="1">{"'Sheet1'!$L$16"}</definedName>
    <definedName name="ctdn9697">#REF!</definedName>
    <definedName name="ctiep">#REF!</definedName>
    <definedName name="CTIET">#REF!</definedName>
    <definedName name="CTRAM">#REF!</definedName>
    <definedName name="CU_LY_VAN_CHUYEN_GIA_QUYEN">#REF!</definedName>
    <definedName name="CU_LY_VAN_CHUYEN_THU_CONG">#REF!</definedName>
    <definedName name="CURRENCY">#REF!</definedName>
    <definedName name="cv">[2]gvl!$N$17</definedName>
    <definedName name="CV.1">[2]gvl!$N$17</definedName>
    <definedName name="cx" localSheetId="3">#REF!</definedName>
    <definedName name="cx">#REF!</definedName>
    <definedName name="Ð" localSheetId="3">BlankMacro1</definedName>
    <definedName name="Ð">BlankMacro1</definedName>
    <definedName name="D_7101A_B" localSheetId="3">#REF!</definedName>
    <definedName name="D_7101A_B">#REF!</definedName>
    <definedName name="da1x2" localSheetId="3">#REF!</definedName>
    <definedName name="da1x2">#REF!</definedName>
    <definedName name="dahoc" localSheetId="3">#REF!</definedName>
    <definedName name="dahoc">#REF!</definedName>
    <definedName name="dam">#REF!</definedName>
    <definedName name="danducsan">#REF!</definedName>
    <definedName name="dao">#REF!</definedName>
    <definedName name="DAT">#REF!</definedName>
    <definedName name="DATA_DATA2_List">#REF!</definedName>
    <definedName name="data1" hidden="1">#REF!</definedName>
    <definedName name="data2" hidden="1">#REF!</definedName>
    <definedName name="data3" hidden="1">#REF!</definedName>
    <definedName name="_xlnm.Database">#REF!</definedName>
    <definedName name="DATDAO">#REF!</definedName>
    <definedName name="DCL_22">12117600</definedName>
    <definedName name="DCL_35">25490000</definedName>
    <definedName name="dd" localSheetId="3">#REF!</definedName>
    <definedName name="dd">#REF!</definedName>
    <definedName name="dd1x2">[2]gvl!$N$9</definedName>
    <definedName name="dd1x2.">[2]gvl!$N$9</definedName>
    <definedName name="dd1x2.1">[2]gvl!$N$9</definedName>
    <definedName name="DDAY" localSheetId="3">#REF!</definedName>
    <definedName name="DDAY">#REF!</definedName>
    <definedName name="dddem">0.1</definedName>
    <definedName name="DDK" localSheetId="3">#REF!</definedName>
    <definedName name="DDK">#REF!</definedName>
    <definedName name="den_bu" localSheetId="3">#REF!</definedName>
    <definedName name="den_bu">#REF!</definedName>
    <definedName name="denbu" localSheetId="3">#REF!</definedName>
    <definedName name="denbu">#REF!</definedName>
    <definedName name="DenDK" localSheetId="3" hidden="1">{"'Sheet1'!$L$16"}</definedName>
    <definedName name="DenDK" hidden="1">{"'Sheet1'!$L$16"}</definedName>
    <definedName name="Det32x3">#REF!</definedName>
    <definedName name="Det35x3">#REF!</definedName>
    <definedName name="Det40x4">#REF!</definedName>
    <definedName name="Det50x5">#REF!</definedName>
    <definedName name="Det63x6">#REF!</definedName>
    <definedName name="Det75x6">#REF!</definedName>
    <definedName name="dfg" localSheetId="3" hidden="1">{"'Sheet1'!$L$16"}</definedName>
    <definedName name="dfg" hidden="1">{"'Sheet1'!$L$16"}</definedName>
    <definedName name="dgbdII">#REF!</definedName>
    <definedName name="DGCTI592">#REF!</definedName>
    <definedName name="dgctp2" localSheetId="3" hidden="1">{"'Sheet1'!$L$16"}</definedName>
    <definedName name="dgctp2" hidden="1">{"'Sheet1'!$L$16"}</definedName>
    <definedName name="DGNC">#REF!</definedName>
    <definedName name="dgqndn">#REF!</definedName>
    <definedName name="DGTV">#REF!</definedName>
    <definedName name="dgvl">#REF!</definedName>
    <definedName name="DGVT">#REF!</definedName>
    <definedName name="dhom">#REF!</definedName>
    <definedName name="dien">#REF!</definedName>
    <definedName name="dientichck">#REF!</definedName>
    <definedName name="dinh2">#REF!</definedName>
    <definedName name="Discount" hidden="1">#REF!</definedName>
    <definedName name="display_area_2" hidden="1">#REF!</definedName>
    <definedName name="DLCC">#REF!</definedName>
    <definedName name="DM">#REF!</definedName>
    <definedName name="dm56bxd">#REF!</definedName>
    <definedName name="DN">#REF!</definedName>
    <definedName name="DNNN">#REF!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doc">0.03125</definedName>
    <definedName name="Document_array" localSheetId="3">{"Thuxm2.xls","Sheet1"}</definedName>
    <definedName name="Document_array">{"Thuxm2.xls","Sheet1"}</definedName>
    <definedName name="DON_GIA_3282" localSheetId="3">#REF!</definedName>
    <definedName name="DON_GIA_3282">#REF!</definedName>
    <definedName name="DON_GIA_3283" localSheetId="3">#REF!</definedName>
    <definedName name="DON_GIA_3283">#REF!</definedName>
    <definedName name="DON_GIA_3285" localSheetId="3">#REF!</definedName>
    <definedName name="DON_GIA_3285">#REF!</definedName>
    <definedName name="DON_GIA_VAN_CHUYEN_36">#REF!</definedName>
    <definedName name="dongia">#REF!</definedName>
    <definedName name="Drawpoints">1</definedName>
    <definedName name="Drop1">"Drop Down 3"</definedName>
    <definedName name="DS1p1vc" localSheetId="3">#REF!</definedName>
    <definedName name="DS1p1vc">#REF!</definedName>
    <definedName name="ds1p2nc" localSheetId="3">#REF!</definedName>
    <definedName name="ds1p2nc">#REF!</definedName>
    <definedName name="ds1p2vc" localSheetId="3">#REF!</definedName>
    <definedName name="ds1p2vc">#REF!</definedName>
    <definedName name="ds1pnc">#REF!</definedName>
    <definedName name="ds1pvl">#REF!</definedName>
    <definedName name="ds3pctnc">#REF!</definedName>
    <definedName name="ds3pctvc">#REF!</definedName>
    <definedName name="ds3pctvl">#REF!</definedName>
    <definedName name="DSPK1p1nc">#REF!</definedName>
    <definedName name="DSPK1p1vl">#REF!</definedName>
    <definedName name="DSPK1pnc">#REF!</definedName>
    <definedName name="DSPK1pvl">#REF!</definedName>
    <definedName name="DSTD_Clear">#N/A</definedName>
    <definedName name="DSUMDATA" localSheetId="3">#REF!</definedName>
    <definedName name="DSUMDATA">#REF!</definedName>
    <definedName name="dthft" localSheetId="3" hidden="1">{"'Sheet1'!$L$16"}</definedName>
    <definedName name="dthft" hidden="1">{"'Sheet1'!$L$16"}</definedName>
    <definedName name="dtich1">#REF!</definedName>
    <definedName name="dtich2">#REF!</definedName>
    <definedName name="dtich3">#REF!</definedName>
    <definedName name="dtich4">#REF!</definedName>
    <definedName name="dtich5">#REF!</definedName>
    <definedName name="dtich6">#REF!</definedName>
    <definedName name="DtrCuocPhun.1b" localSheetId="3">[4]NhanCong!$G$202</definedName>
    <definedName name="DtrCuocPhun.1b">[4]NhanCong!$G$202</definedName>
    <definedName name="DtrCuocPhun.2b" localSheetId="3">[4]NhanCong!$G$203</definedName>
    <definedName name="DtrCuocPhun.2b">[4]NhanCong!$G$203</definedName>
    <definedName name="DtrCuocPhun.4b" localSheetId="3">[4]NhanCong!$G$214</definedName>
    <definedName name="DtrCuocPhun.4b">[4]NhanCong!$G$214</definedName>
    <definedName name="DtrHutCuoc300.2s" localSheetId="3">[4]NhanCong!$G$191</definedName>
    <definedName name="DtrHutCuoc300.2s">[4]NhanCong!$G$191</definedName>
    <definedName name="DU_TOAN_CHI_TIET_CONG_TO" localSheetId="3">#REF!</definedName>
    <definedName name="DU_TOAN_CHI_TIET_CONG_TO">#REF!</definedName>
    <definedName name="DU_TOAN_CHI_TIET_DZ22KV" localSheetId="3">#REF!</definedName>
    <definedName name="DU_TOAN_CHI_TIET_DZ22KV">#REF!</definedName>
    <definedName name="DU_TOAN_CHI_TIET_KHO_BAI" localSheetId="3">#REF!</definedName>
    <definedName name="DU_TOAN_CHI_TIET_KHO_BAI">#REF!</definedName>
    <definedName name="duaån">#REF!</definedName>
    <definedName name="duan">#REF!</definedName>
    <definedName name="DUCANH" localSheetId="3" hidden="1">{"'Sheet1'!$L$16"}</definedName>
    <definedName name="DUCANH" hidden="1">{"'Sheet1'!$L$16"}</definedName>
    <definedName name="Dutoan2001">'[5]Tro giup'!$A$1</definedName>
    <definedName name="DutoanDongmo" localSheetId="3">#REF!</definedName>
    <definedName name="DutoanDongmo">#REF!</definedName>
    <definedName name="E.chandoc">8.875</definedName>
    <definedName name="E.PC">10.438</definedName>
    <definedName name="E.PVI">12</definedName>
    <definedName name="emb" localSheetId="3">#REF!</definedName>
    <definedName name="emb">#REF!</definedName>
    <definedName name="End_1" localSheetId="3">#REF!</definedName>
    <definedName name="End_1">#REF!</definedName>
    <definedName name="End_10" localSheetId="3">#REF!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_xlnm.Extract">#REF!</definedName>
    <definedName name="f">#REF!</definedName>
    <definedName name="FACTOR">#REF!</definedName>
    <definedName name="FCode" hidden="1">#REF!</definedName>
    <definedName name="FFF" localSheetId="3">BlankMacro1</definedName>
    <definedName name="FFF">BlankMacro1</definedName>
    <definedName name="FI_12">4820</definedName>
    <definedName name="FIT" localSheetId="3">BlankMacro1</definedName>
    <definedName name="FIT">BlankMacro1</definedName>
    <definedName name="FITT2" localSheetId="3">BlankMacro1</definedName>
    <definedName name="FITT2">BlankMacro1</definedName>
    <definedName name="FITTING2" localSheetId="3">BlankMacro1</definedName>
    <definedName name="FITTING2">BlankMacro1</definedName>
    <definedName name="FLG" localSheetId="3">BlankMacro1</definedName>
    <definedName name="FLG">BlankMacro1</definedName>
    <definedName name="foo" localSheetId="3">ErrorHandler_1</definedName>
    <definedName name="foo">ErrorHandler_1</definedName>
    <definedName name="fsdfdsf" localSheetId="3" hidden="1">{"'Sheet1'!$L$16"}</definedName>
    <definedName name="fsdfdsf" hidden="1">{"'Sheet1'!$L$16"}</definedName>
    <definedName name="G_ME">#REF!</definedName>
    <definedName name="gach">#REF!</definedName>
    <definedName name="geo">#REF!</definedName>
    <definedName name="getrtertertert" localSheetId="3">BlankMacro1</definedName>
    <definedName name="getrtertertert">BlankMacro1</definedName>
    <definedName name="gg" localSheetId="3">#REF!</definedName>
    <definedName name="gg">#REF!</definedName>
    <definedName name="ghip" localSheetId="3">#REF!</definedName>
    <definedName name="ghip">#REF!</definedName>
    <definedName name="gi">0.4</definedName>
    <definedName name="gia" localSheetId="3">#REF!</definedName>
    <definedName name="gia">#REF!</definedName>
    <definedName name="Gia_CT" localSheetId="3">#REF!</definedName>
    <definedName name="Gia_CT">#REF!</definedName>
    <definedName name="GIA_CU_LY_VAN_CHUYEN" localSheetId="3">#REF!</definedName>
    <definedName name="GIA_CU_LY_VAN_CHUYEN">#REF!</definedName>
    <definedName name="gia_tien">#REF!</definedName>
    <definedName name="gia_tien_BTN">#REF!</definedName>
    <definedName name="Gia_VT">#REF!</definedName>
    <definedName name="GIAVLIEUTN">#REF!</definedName>
    <definedName name="Giocong">#REF!</definedName>
    <definedName name="gl3p">#REF!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tb">#REF!</definedName>
    <definedName name="gtbtt">#REF!</definedName>
    <definedName name="gtst">#REF!</definedName>
    <definedName name="GTXL">#REF!</definedName>
    <definedName name="Gxl">#REF!</definedName>
    <definedName name="gxltt">#REF!</definedName>
    <definedName name="h" localSheetId="3" hidden="1">{"'Sheet1'!$L$16"}</definedName>
    <definedName name="h" hidden="1">{"'Sheet1'!$L$16"}</definedName>
    <definedName name="H_THUCHTHH">#REF!</definedName>
    <definedName name="H_THUCTT">#REF!</definedName>
    <definedName name="HANG" localSheetId="3" hidden="1">{#N/A,#N/A,FALSE,"Chi tiÆt"}</definedName>
    <definedName name="HANG" hidden="1">{#N/A,#N/A,FALSE,"Chi tiÆt"}</definedName>
    <definedName name="HCM" localSheetId="3">#REF!</definedName>
    <definedName name="HCM">#REF!</definedName>
    <definedName name="Hdao">0.3</definedName>
    <definedName name="Hdap">5.2</definedName>
    <definedName name="HE_SO_KHO_KHAN_CANG_DAY" localSheetId="3">#REF!</definedName>
    <definedName name="HE_SO_KHO_KHAN_CANG_DAY">#REF!</definedName>
    <definedName name="Heä_soá_laép_xaø_H">1.7</definedName>
    <definedName name="heä_soá_sình_laày" localSheetId="3">#REF!</definedName>
    <definedName name="heä_soá_sình_laày">#REF!</definedName>
    <definedName name="hh" localSheetId="3">#REF!</definedName>
    <definedName name="hh">#REF!</definedName>
    <definedName name="HHcat" localSheetId="3">#REF!</definedName>
    <definedName name="HHcat">#REF!</definedName>
    <definedName name="HHda">#REF!</definedName>
    <definedName name="hhh" localSheetId="3" hidden="1">{"'Sheet1'!$L$16"}</definedName>
    <definedName name="hhh" hidden="1">{"'Sheet1'!$L$16"}</definedName>
    <definedName name="HHTT">#REF!</definedName>
    <definedName name="HHUHOI">#N/A</definedName>
    <definedName name="HiddenRows" hidden="1">#REF!</definedName>
    <definedName name="hien" localSheetId="3">#REF!</definedName>
    <definedName name="hien">#REF!</definedName>
    <definedName name="HIHIHIHOI" localSheetId="3" hidden="1">{"'Sheet1'!$L$16"}</definedName>
    <definedName name="HIHIHIHOI" hidden="1">{"'Sheet1'!$L$16"}</definedName>
    <definedName name="Hinh_thuc">#REF!</definedName>
    <definedName name="HiÕu">#REF!</definedName>
    <definedName name="HJKL" localSheetId="3" hidden="1">{"'Sheet1'!$L$16"}</definedName>
    <definedName name="HJKL" hidden="1">{"'Sheet1'!$L$16"}</definedName>
    <definedName name="hoc">55000</definedName>
    <definedName name="HOME_MANP" localSheetId="3">#REF!</definedName>
    <definedName name="HOME_MANP">#REF!</definedName>
    <definedName name="HOMEOFFICE_COST" localSheetId="3">#REF!</definedName>
    <definedName name="HOMEOFFICE_COST">#REF!</definedName>
    <definedName name="hs" localSheetId="3">#REF!</definedName>
    <definedName name="hs">#REF!</definedName>
    <definedName name="HSCT3">0.1</definedName>
    <definedName name="hsd" localSheetId="3">#REF!</definedName>
    <definedName name="hsd">#REF!</definedName>
    <definedName name="hsdc" localSheetId="3">#REF!</definedName>
    <definedName name="hsdc">#REF!</definedName>
    <definedName name="hsdc1" localSheetId="3">#REF!</definedName>
    <definedName name="hsdc1">#REF!</definedName>
    <definedName name="HSDN">2.5</definedName>
    <definedName name="HSHH">#REF!</definedName>
    <definedName name="HSHHUT">#REF!</definedName>
    <definedName name="hsk">#REF!</definedName>
    <definedName name="HSKK35">#REF!</definedName>
    <definedName name="HSLX">#REF!</definedName>
    <definedName name="HSLXH">1.7</definedName>
    <definedName name="HSLXP" localSheetId="3">#REF!</definedName>
    <definedName name="HSLXP">#REF!</definedName>
    <definedName name="hsn">0.5</definedName>
    <definedName name="hsnc_cau">2.5039</definedName>
    <definedName name="hsnc_cau2">1.626</definedName>
    <definedName name="hsnc_d">1.6356</definedName>
    <definedName name="hsnc_d2">1.6356</definedName>
    <definedName name="hßm4" localSheetId="3">#REF!</definedName>
    <definedName name="hßm4">#REF!</definedName>
    <definedName name="hstb" localSheetId="3">#REF!</definedName>
    <definedName name="hstb">#REF!</definedName>
    <definedName name="hstdtk" localSheetId="3">#REF!</definedName>
    <definedName name="hstdtk">#REF!</definedName>
    <definedName name="hsthep">#REF!</definedName>
    <definedName name="HSVC1">#REF!</definedName>
    <definedName name="HSVC2">#REF!</definedName>
    <definedName name="HSVC3">#REF!</definedName>
    <definedName name="hsvl">#REF!</definedName>
    <definedName name="hsvl2">1</definedName>
    <definedName name="HT" localSheetId="3">#REF!</definedName>
    <definedName name="HT">#REF!</definedName>
    <definedName name="HTHH" localSheetId="3">#REF!</definedName>
    <definedName name="HTHH">#REF!</definedName>
    <definedName name="htlm" localSheetId="3" hidden="1">{"'Sheet1'!$L$16"}</definedName>
    <definedName name="htlm" hidden="1">{"'Sheet1'!$L$16"}</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3">#REF!</definedName>
    <definedName name="HTNC">#REF!</definedName>
    <definedName name="htrhrt" localSheetId="3" hidden="1">{"'Sheet1'!$L$16"}</definedName>
    <definedName name="htrhrt" hidden="1">{"'Sheet1'!$L$16"}</definedName>
    <definedName name="HTVL">#REF!</definedName>
    <definedName name="hu" localSheetId="3" hidden="1">{"'Sheet1'!$L$16"}</definedName>
    <definedName name="hu" hidden="1">{"'Sheet1'!$L$16"}</definedName>
    <definedName name="huy">#REF!</definedName>
    <definedName name="I">#REF!</definedName>
    <definedName name="IDLAB_COST">#REF!</definedName>
    <definedName name="IND_LAB">#REF!</definedName>
    <definedName name="INDMANP">#REF!</definedName>
    <definedName name="j">#REF!</definedName>
    <definedName name="j356C8">#REF!</definedName>
    <definedName name="K">#REF!</definedName>
    <definedName name="k2b">#REF!</definedName>
    <definedName name="kcong">#REF!</definedName>
    <definedName name="KH_Chang">#REF!</definedName>
    <definedName name="Khac">#REF!</definedName>
    <definedName name="KHANHKHUNG" localSheetId="3" hidden="1">{"'Sheet1'!$L$16"}</definedName>
    <definedName name="KHANHKHUNG" hidden="1">{"'Sheet1'!$L$16"}</definedName>
    <definedName name="khla09" localSheetId="3" hidden="1">{"'Sheet1'!$L$16"}</definedName>
    <definedName name="khla09" hidden="1">{"'Sheet1'!$L$16"}</definedName>
    <definedName name="KHOI_LUONG_DAT_DAO_DAP">#REF!</definedName>
    <definedName name="Khong_can_doi">#REF!</definedName>
    <definedName name="khongtruotgia" localSheetId="3" hidden="1">{"'Sheet1'!$L$16"}</definedName>
    <definedName name="khongtruotgia" hidden="1">{"'Sheet1'!$L$16"}</definedName>
    <definedName name="KhuyenmaiUPS">"AutoShape 264"</definedName>
    <definedName name="khvh09" localSheetId="3" hidden="1">{"'Sheet1'!$L$16"}</definedName>
    <definedName name="khvh09" hidden="1">{"'Sheet1'!$L$16"}</definedName>
    <definedName name="KHYt09" localSheetId="3" hidden="1">{"'Sheet1'!$L$16"}</definedName>
    <definedName name="KHYt09" hidden="1">{"'Sheet1'!$L$16"}</definedName>
    <definedName name="KINH_PHI_DEN_BU">#REF!</definedName>
    <definedName name="KINH_PHI_DZ0.4KV">#REF!</definedName>
    <definedName name="KINH_PHI_KHAO_SAT__LAP_BCNCKT__TKKTTC">#REF!</definedName>
    <definedName name="KINH_PHI_KHO_BAI">#REF!</definedName>
    <definedName name="KINH_PHI_TBA">#REF!</definedName>
    <definedName name="kk">0.8</definedName>
    <definedName name="kl_ME" localSheetId="3">#REF!</definedName>
    <definedName name="kl_ME">#REF!</definedName>
    <definedName name="KLduonggiaods" localSheetId="3" hidden="1">{"'Sheet1'!$L$16"}</definedName>
    <definedName name="KLduonggiaods" hidden="1">{"'Sheet1'!$L$16"}</definedName>
    <definedName name="KLTHDN">#REF!</definedName>
    <definedName name="KLVANKHUON">#REF!</definedName>
    <definedName name="komtun" localSheetId="3" hidden="1">{"'Sheet1'!$L$16"}</definedName>
    <definedName name="komtun" hidden="1">{"'Sheet1'!$L$16"}</definedName>
    <definedName name="kp1ph">#REF!</definedName>
    <definedName name="KQ_Truong">#REF!</definedName>
    <definedName name="ksbn" localSheetId="3" hidden="1">{"'Sheet1'!$L$16"}</definedName>
    <definedName name="ksbn" hidden="1">{"'Sheet1'!$L$16"}</definedName>
    <definedName name="kshn" localSheetId="3" hidden="1">{"'Sheet1'!$L$16"}</definedName>
    <definedName name="kshn" hidden="1">{"'Sheet1'!$L$16"}</definedName>
    <definedName name="ksls" localSheetId="3" hidden="1">{"'Sheet1'!$L$16"}</definedName>
    <definedName name="ksls" hidden="1">{"'Sheet1'!$L$16"}</definedName>
    <definedName name="KSTK">#REF!</definedName>
    <definedName name="KtvCuoc2.2s" localSheetId="3">[4]NhanCong!$G$175</definedName>
    <definedName name="KtvCuoc2.2s">[4]NhanCong!$G$175</definedName>
    <definedName name="KtvCuoc2.4s" localSheetId="3">[4]NhanCong!$G$184</definedName>
    <definedName name="KtvCuoc2.4s">[4]NhanCong!$G$184</definedName>
    <definedName name="KtvCuoc2.6s" localSheetId="3">[4]NhanCong!$G$195</definedName>
    <definedName name="KtvCuoc2.6s">[4]NhanCong!$G$195</definedName>
    <definedName name="KVC" localSheetId="3">#REF!</definedName>
    <definedName name="KVC">#REF!</definedName>
    <definedName name="L" localSheetId="3">#REF!</definedName>
    <definedName name="L">#REF!</definedName>
    <definedName name="L_mong" localSheetId="3">#REF!</definedName>
    <definedName name="L_mong">#REF!</definedName>
    <definedName name="L63x6">5800</definedName>
    <definedName name="lan" localSheetId="3">#REF!</definedName>
    <definedName name="lan">#REF!</definedName>
    <definedName name="langson" localSheetId="3" hidden="1">{"'Sheet1'!$L$16"}</definedName>
    <definedName name="langson" hidden="1">{"'Sheet1'!$L$16"}</definedName>
    <definedName name="lanhto">#REF!</definedName>
    <definedName name="LAP_DAT_TBA">#REF!</definedName>
    <definedName name="Last_Row" localSheetId="3">#N/A</definedName>
    <definedName name="Last_Row">IF([0]!Values_Entered,Header_Row+[0]!Number_of_Payments,Header_Row)</definedName>
    <definedName name="LBS_22">107800000</definedName>
    <definedName name="LIET_KE_VI_TRI_DZ0.4KV" localSheetId="3">#REF!</definedName>
    <definedName name="LIET_KE_VI_TRI_DZ0.4KV">#REF!</definedName>
    <definedName name="LIET_KE_VI_TRI_DZ22KV">#REF!</definedName>
    <definedName name="LK_hathe">#REF!</definedName>
    <definedName name="Lmk">#REF!</definedName>
    <definedName name="lntt">#REF!</definedName>
    <definedName name="Loai_TD">#REF!</definedName>
    <definedName name="lVC">#REF!</definedName>
    <definedName name="Lx.125" localSheetId="3">[4]NhanCong!$G$132</definedName>
    <definedName name="Lx.125">[4]NhanCong!$G$132</definedName>
    <definedName name="Lx.140" localSheetId="3">[4]NhanCong!$G$137</definedName>
    <definedName name="Lx.140">[4]NhanCong!$G$137</definedName>
    <definedName name="Lx.175" localSheetId="3">[4]NhanCong!$G$127</definedName>
    <definedName name="Lx.175">[4]NhanCong!$G$127</definedName>
    <definedName name="Lx.225" localSheetId="3">[4]NhanCong!$G$133</definedName>
    <definedName name="Lx.225">[4]NhanCong!$G$133</definedName>
    <definedName name="Lx.275" localSheetId="3">[4]NhanCong!$G$128</definedName>
    <definedName name="Lx.275">[4]NhanCong!$G$128</definedName>
    <definedName name="Lx.325" localSheetId="3">[4]NhanCong!$G$134</definedName>
    <definedName name="Lx.325">[4]NhanCong!$G$134</definedName>
    <definedName name="Lx.340" localSheetId="3">[4]NhanCong!$G$139</definedName>
    <definedName name="Lx.340">[4]NhanCong!$G$139</definedName>
    <definedName name="Lx.375" localSheetId="3">[4]NhanCong!$G$129</definedName>
    <definedName name="Lx.375">[4]NhanCong!$G$129</definedName>
    <definedName name="Lx.440" localSheetId="3">[4]NhanCong!$G$140</definedName>
    <definedName name="Lx.440">[4]NhanCong!$G$140</definedName>
    <definedName name="M0.4" localSheetId="3">#REF!</definedName>
    <definedName name="M0.4">#REF!</definedName>
    <definedName name="M10aa1p" localSheetId="3">#REF!</definedName>
    <definedName name="M10aa1p">#REF!</definedName>
    <definedName name="M12aavl" localSheetId="3">#REF!</definedName>
    <definedName name="M12aavl">#REF!</definedName>
    <definedName name="M12ba3p">#REF!</definedName>
    <definedName name="M12bb1p">#REF!</definedName>
    <definedName name="M14bb1p">#REF!</definedName>
    <definedName name="M2KtvBung.1b" localSheetId="3">[4]NhanCong!$G$204</definedName>
    <definedName name="M2KtvBung.1b">[4]NhanCong!$G$204</definedName>
    <definedName name="M2KtvBung.2b" localSheetId="3">[4]NhanCong!$G$205</definedName>
    <definedName name="M2KtvBung.2b">[4]NhanCong!$G$205</definedName>
    <definedName name="M2KtvBung.3b" localSheetId="3">[4]NhanCong!$G$215</definedName>
    <definedName name="M2KtvBung.3b">[4]NhanCong!$G$215</definedName>
    <definedName name="M2KtvBung.4b" localSheetId="3">[4]NhanCong!$G$216</definedName>
    <definedName name="M2KtvBung.4b">[4]NhanCong!$G$216</definedName>
    <definedName name="M2KtvCuoc1.2s" localSheetId="3">[4]NhanCong!$G$173</definedName>
    <definedName name="M2KtvCuoc1.2s">[4]NhanCong!$G$173</definedName>
    <definedName name="M2KtvCuoc1.4s" localSheetId="3">[4]NhanCong!$G$182</definedName>
    <definedName name="M2KtvCuoc1.4s">[4]NhanCong!$G$182</definedName>
    <definedName name="M2KtvCuoc1.6s" localSheetId="3">[4]NhanCong!$G$193</definedName>
    <definedName name="M2KtvCuoc1.6s">[4]NhanCong!$G$193</definedName>
    <definedName name="M8a" localSheetId="3">#REF!</definedName>
    <definedName name="M8a">#REF!</definedName>
    <definedName name="M8aa" localSheetId="3">#REF!</definedName>
    <definedName name="M8aa">#REF!</definedName>
    <definedName name="m8aanc" localSheetId="3">#REF!</definedName>
    <definedName name="m8aanc">#REF!</definedName>
    <definedName name="m8aavl">#REF!</definedName>
    <definedName name="Ma3pnc">#REF!</definedName>
    <definedName name="Ma3pvl">#REF!</definedName>
    <definedName name="Maa3pnc">#REF!</definedName>
    <definedName name="Maa3pvl">#REF!</definedName>
    <definedName name="Macro3">#REF!</definedName>
    <definedName name="MAJ_CON_EQP">#REF!</definedName>
    <definedName name="MAVANKHUON">#REF!</definedName>
    <definedName name="MAVLTHDN">#REF!</definedName>
    <definedName name="Mba1p">#REF!</definedName>
    <definedName name="Mba3p">#REF!</definedName>
    <definedName name="Mbb3p">#REF!</definedName>
    <definedName name="mc">#REF!</definedName>
    <definedName name="MG_A">#REF!</definedName>
    <definedName name="MN">#REF!</definedName>
    <definedName name="mo" localSheetId="3" hidden="1">{"'Sheet1'!$L$16"}</definedName>
    <definedName name="mo" hidden="1">{"'Sheet1'!$L$16"}</definedName>
    <definedName name="mongbang">#REF!</definedName>
    <definedName name="mongdon">#REF!</definedName>
    <definedName name="Moùng">#REF!</definedName>
    <definedName name="MSCT">#REF!</definedName>
    <definedName name="mtcdg">#REF!</definedName>
    <definedName name="MTMAC12">#REF!</definedName>
    <definedName name="Mtr.1s" localSheetId="3">[4]NhanCong!$G$170</definedName>
    <definedName name="Mtr.1s">[4]NhanCong!$G$170</definedName>
    <definedName name="Mtr.2s" localSheetId="3">[4]NhanCong!$G$171</definedName>
    <definedName name="Mtr.2s">[4]NhanCong!$G$171</definedName>
    <definedName name="Mtr.3s" localSheetId="3">[4]NhanCong!$G$179</definedName>
    <definedName name="Mtr.3s">[4]NhanCong!$G$179</definedName>
    <definedName name="Mtr.4s" localSheetId="3">[4]NhanCong!$G$180</definedName>
    <definedName name="Mtr.4s">[4]NhanCong!$G$180</definedName>
    <definedName name="Mtr.5s" localSheetId="3">[4]NhanCong!$G$188</definedName>
    <definedName name="Mtr.5s">[4]NhanCong!$G$188</definedName>
    <definedName name="Mtr.6s" localSheetId="3">[4]NhanCong!$G$189</definedName>
    <definedName name="Mtr.6s">[4]NhanCong!$G$189</definedName>
    <definedName name="mtram" localSheetId="3">#REF!</definedName>
    <definedName name="mtram">#REF!</definedName>
    <definedName name="MtrTtrCuocPhun.2b" localSheetId="3">[4]NhanCong!$G$201</definedName>
    <definedName name="MtrTtrCuocPhun.2b">[4]NhanCong!$G$201</definedName>
    <definedName name="MtrTtrCuocPhun.4b" localSheetId="3">[4]NhanCong!$G$212</definedName>
    <definedName name="MtrTtrCuocPhun.4b">[4]NhanCong!$G$212</definedName>
    <definedName name="myle" localSheetId="3">#REF!</definedName>
    <definedName name="myle">#REF!</definedName>
    <definedName name="n" localSheetId="3">#REF!</definedName>
    <definedName name="n">#REF!</definedName>
    <definedName name="n..">[2]gvl!$N$38</definedName>
    <definedName name="n1pig" localSheetId="3">#REF!</definedName>
    <definedName name="n1pig">#REF!</definedName>
    <definedName name="N1pIGnc" localSheetId="3">#REF!</definedName>
    <definedName name="N1pIGnc">#REF!</definedName>
    <definedName name="N1pIGvc" localSheetId="3">#REF!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c">#REF!</definedName>
    <definedName name="nc_btm10">#REF!</definedName>
    <definedName name="nc_btm100">#REF!</definedName>
    <definedName name="nc3p">#REF!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ay">#REF!</definedName>
    <definedName name="NH">#REF!</definedName>
    <definedName name="NHAÂN_COÂNG" localSheetId="3">BTRAM</definedName>
    <definedName name="NHAÂN_COÂNG">BTRAM</definedName>
    <definedName name="NHANH2_CG4" localSheetId="3" hidden="1">{"'Sheet1'!$L$16"}</definedName>
    <definedName name="NHANH2_CG4" hidden="1">{"'Sheet1'!$L$16"}</definedName>
    <definedName name="nhn">#REF!</definedName>
    <definedName name="NHot">#REF!</definedName>
    <definedName name="nhu">#REF!</definedName>
    <definedName name="nhua">#REF!</definedName>
    <definedName name="nhuad">#REF!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903p">#REF!</definedName>
    <definedName name="nin3p">#REF!</definedName>
    <definedName name="nind">#REF!</definedName>
    <definedName name="nind1p">#REF!</definedName>
    <definedName name="nind3p">#REF!</definedName>
    <definedName name="NINDnc">#REF!</definedName>
    <definedName name="nindnc1p">#REF!</definedName>
    <definedName name="NINDvc">#REF!</definedName>
    <definedName name="NINDvl">#REF!</definedName>
    <definedName name="nindvl1p">#REF!</definedName>
    <definedName name="ning1p">#REF!</definedName>
    <definedName name="ningnc1p">#REF!</definedName>
    <definedName name="ningvl1p">#REF!</definedName>
    <definedName name="NINnc">#REF!</definedName>
    <definedName name="nint1p">#REF!</definedName>
    <definedName name="nintnc1p">#REF!</definedName>
    <definedName name="nintvl1p">#REF!</definedName>
    <definedName name="NINvc">#REF!</definedName>
    <definedName name="NINvl">#REF!</definedName>
    <definedName name="nl">#REF!</definedName>
    <definedName name="nl1p">#REF!</definedName>
    <definedName name="nl3p">#REF!</definedName>
    <definedName name="nlht">#REF!</definedName>
    <definedName name="NLTK1p">#REF!</definedName>
    <definedName name="nn">#REF!</definedName>
    <definedName name="nn1p">#REF!</definedName>
    <definedName name="nn3p">#REF!</definedName>
    <definedName name="No">#REF!</definedName>
    <definedName name="NQD">#REF!</definedName>
    <definedName name="NQQH">#REF!</definedName>
    <definedName name="NSNN">#REF!</definedName>
    <definedName name="Number_of_Payments" localSheetId="3">MATCH(0.01,End_Bal,-1)+1</definedName>
    <definedName name="Number_of_Payments">MATCH(0.01,End_Bal,-1)+1</definedName>
    <definedName name="nuoc">[2]gvl!$N$38</definedName>
    <definedName name="nuoc1">[2]gvl!$N$38</definedName>
    <definedName name="nx" localSheetId="3">#REF!</definedName>
    <definedName name="nx">#REF!</definedName>
    <definedName name="ophom" localSheetId="3">#REF!</definedName>
    <definedName name="ophom">#REF!</definedName>
    <definedName name="OrderTable" localSheetId="3" hidden="1">#REF!</definedName>
    <definedName name="OrderTable" hidden="1">#REF!</definedName>
    <definedName name="osc">#REF!</definedName>
    <definedName name="PA">#REF!</definedName>
    <definedName name="PAIII_" localSheetId="3" hidden="1">{"'Sheet1'!$L$16"}</definedName>
    <definedName name="PAIII_" hidden="1">{"'Sheet1'!$L$16"}</definedName>
    <definedName name="panen">#REF!</definedName>
    <definedName name="PC">#REF!</definedName>
    <definedName name="Phan_cap">#REF!</definedName>
    <definedName name="PHAN_DIEN_DZ0.4KV">#REF!</definedName>
    <definedName name="PHAN_DIEN_TBA">#REF!</definedName>
    <definedName name="PHAN_MUA_SAM_DZ0.4KV">#REF!</definedName>
    <definedName name="Phi_le_phi">#REF!</definedName>
    <definedName name="phu_luc_vua">#REF!</definedName>
    <definedName name="PIP" localSheetId="3">BlankMacro1</definedName>
    <definedName name="PIP">BlankMacro1</definedName>
    <definedName name="PIPE2" localSheetId="3">BlankMacro1</definedName>
    <definedName name="PIPE2">BlankMacro1</definedName>
    <definedName name="PLKL" localSheetId="3">#REF!</definedName>
    <definedName name="PLKL">#REF!</definedName>
    <definedName name="PMS" localSheetId="3" hidden="1">{"'Sheet1'!$L$16"}</definedName>
    <definedName name="PMS" hidden="1">{"'Sheet1'!$L$16"}</definedName>
    <definedName name="PPP" localSheetId="3">BlankMacro1</definedName>
    <definedName name="PPP">BlankMacro1</definedName>
    <definedName name="PRICE" localSheetId="3">#REF!</definedName>
    <definedName name="PRICE">#REF!</definedName>
    <definedName name="PRICE1" localSheetId="3">#REF!</definedName>
    <definedName name="PRICE1">#REF!</definedName>
    <definedName name="_xlnm.Print_Area" localSheetId="11">'36'!$A$1:$S$25</definedName>
    <definedName name="_xlnm.Print_Area" localSheetId="12">'37'!$A$1:$S$64</definedName>
    <definedName name="_xlnm.Print_Area" localSheetId="13">'39'!$A$1:$R$20</definedName>
    <definedName name="_xlnm.Print_Area" localSheetId="14">'41'!$A$1:$V$89</definedName>
    <definedName name="_xlnm.Print_Area" localSheetId="3">'B 29'!$A$1:$H$37</definedName>
    <definedName name="_xlnm.Print_Area" localSheetId="15">'b42-bsmt'!$A$1:$F$18</definedName>
    <definedName name="_xlnm.Print_Area" localSheetId="2">'BIEU 17'!$A$1:$J$88</definedName>
    <definedName name="_xlnm.Print_Area" localSheetId="4">'BIEU 30'!$A$1:$H$40</definedName>
    <definedName name="_xlnm.Print_Area" localSheetId="5">'BIEU 31'!$A$1:$P$19</definedName>
    <definedName name="_xlnm.Print_Area" localSheetId="6">'BIEU 32'!$A$1:$O$19</definedName>
    <definedName name="_xlnm.Print_Area" localSheetId="7">'BIEU 33b04'!$A$1:$F$50</definedName>
    <definedName name="_xlnm.Print_Area" localSheetId="8">'BIEU 34'!$A$1:$E$33</definedName>
    <definedName name="_xlnm.Print_Area" localSheetId="9">'BIEU 35'!$A$1:$M$70</definedName>
    <definedName name="_xlnm.Print_Area" localSheetId="10">'biểu 35'!$A$1:$N$68</definedName>
    <definedName name="_xlnm.Print_Area" localSheetId="16">'bieu 45'!$A$1:$M$14</definedName>
    <definedName name="_xlnm.Print_Area" localSheetId="17">'Bieu 46'!$A$1:$Z$62</definedName>
    <definedName name="_xlnm.Print_Area" localSheetId="18">'bieu 47'!$A$1:$G$50</definedName>
    <definedName name="_xlnm.Print_Area">#REF!</definedName>
    <definedName name="_xlnm.Print_Titles" localSheetId="12">'37'!$5:$7</definedName>
    <definedName name="_xlnm.Print_Titles" localSheetId="14">'41'!$5:$8</definedName>
    <definedName name="_xlnm.Print_Titles" localSheetId="1">'BIEU 16'!$5:$8</definedName>
    <definedName name="_xlnm.Print_Titles" localSheetId="2">'BIEU 17'!$5:$7</definedName>
    <definedName name="_xlnm.Print_Titles" localSheetId="7">'BIEU 33b04'!$5:$8</definedName>
    <definedName name="_xlnm.Print_Titles" localSheetId="9">'BIEU 35'!$5:$7</definedName>
    <definedName name="_xlnm.Print_Titles" localSheetId="10">'biểu 35'!$4:$6</definedName>
    <definedName name="_xlnm.Print_Titles" localSheetId="17">'Bieu 46'!$5:$8</definedName>
    <definedName name="_xlnm.Print_Titles" localSheetId="18">'bieu 47'!$5:$6</definedName>
    <definedName name="_xlnm.Print_Titles">#N/A</definedName>
    <definedName name="PRINT_TITLES_MI" localSheetId="3">#REF!</definedName>
    <definedName name="PRINT_TITLES_MI">#REF!</definedName>
    <definedName name="PRINTA" localSheetId="3">#REF!</definedName>
    <definedName name="PRINTA">#REF!</definedName>
    <definedName name="PRINTB" localSheetId="3">#REF!</definedName>
    <definedName name="PRINTB">#REF!</definedName>
    <definedName name="PRINTC">#REF!</definedName>
    <definedName name="ProdForm" hidden="1">#REF!</definedName>
    <definedName name="Product" hidden="1">#REF!</definedName>
    <definedName name="PROPOSAL">#REF!</definedName>
    <definedName name="pt">#REF!</definedName>
    <definedName name="PT_Duong">#REF!</definedName>
    <definedName name="ptdg">#REF!</definedName>
    <definedName name="PTDG_cau">#REF!</definedName>
    <definedName name="PtichDTL" localSheetId="3">[6]!PtichDTL</definedName>
    <definedName name="PtichDTL">[6]!PtichDTL</definedName>
    <definedName name="PTNC" localSheetId="3">#REF!</definedName>
    <definedName name="PTNC">#REF!</definedName>
    <definedName name="pvd" localSheetId="3">#REF!</definedName>
    <definedName name="pvd">#REF!</definedName>
    <definedName name="Q__sè_721_Q__KH_T___27_5_03" localSheetId="3">TUANKHANHTUYET1</definedName>
    <definedName name="Q__sè_721_Q__KH_T___27_5_03">TUANKHANHTUYET1</definedName>
    <definedName name="qq" localSheetId="3">BlankMacro1</definedName>
    <definedName name="qq">BlankMacro1</definedName>
    <definedName name="qtdm" localSheetId="3">#REF!</definedName>
    <definedName name="qtdm">#REF!</definedName>
    <definedName name="ra11p" localSheetId="3">#REF!</definedName>
    <definedName name="ra11p">#REF!</definedName>
    <definedName name="ra13p" localSheetId="3">#REF!</definedName>
    <definedName name="ra13p">#REF!</definedName>
    <definedName name="rack1">#REF!</definedName>
    <definedName name="rack2">#REF!</definedName>
    <definedName name="rack3">#REF!</definedName>
    <definedName name="rack4">#REF!</definedName>
    <definedName name="rate">14000</definedName>
    <definedName name="RCArea" hidden="1">#REF!</definedName>
    <definedName name="re" localSheetId="3" hidden="1">{"'Sheet1'!$L$16"}</definedName>
    <definedName name="re" hidden="1">{"'Sheet1'!$L$16"}</definedName>
    <definedName name="_xlnm.Recorder">#REF!</definedName>
    <definedName name="RECOUT">#N/A</definedName>
    <definedName name="RFP003A" localSheetId="3">#REF!</definedName>
    <definedName name="RFP003A">#REF!</definedName>
    <definedName name="RFP003B" localSheetId="3">#REF!</definedName>
    <definedName name="RFP003B">#REF!</definedName>
    <definedName name="RFP003C" localSheetId="3">#REF!</definedName>
    <definedName name="RFP003C">#REF!</definedName>
    <definedName name="RFP003D">#REF!</definedName>
    <definedName name="RFP003E">#REF!</definedName>
    <definedName name="RFP003F">#REF!</definedName>
    <definedName name="RGHGSD" localSheetId="3" hidden="1">{"'Sheet1'!$L$16"}</definedName>
    <definedName name="RGHGSD" hidden="1">{"'Sheet1'!$L$16"}</definedName>
    <definedName name="rnp">32</definedName>
    <definedName name="rong1" localSheetId="3">#REF!</definedName>
    <definedName name="rong1">#REF!</definedName>
    <definedName name="rong2" localSheetId="3">#REF!</definedName>
    <definedName name="rong2">#REF!</definedName>
    <definedName name="rong3" localSheetId="3">#REF!</definedName>
    <definedName name="rong3">#REF!</definedName>
    <definedName name="rong4">#REF!</definedName>
    <definedName name="rong5">#REF!</definedName>
    <definedName name="rong6">#REF!</definedName>
    <definedName name="rr" localSheetId="3" hidden="1">{"'Sheet1'!$L$16"}</definedName>
    <definedName name="rr" hidden="1">{"'Sheet1'!$L$16"}</definedName>
    <definedName name="rytyuyu" localSheetId="3" hidden="1">{"'Sheet1'!$L$16"}</definedName>
    <definedName name="rytyuyu" hidden="1">{"'Sheet1'!$L$16"}</definedName>
    <definedName name="S.dinh">640</definedName>
    <definedName name="san" localSheetId="3">#REF!</definedName>
    <definedName name="san">#REF!</definedName>
    <definedName name="sand" localSheetId="3">#REF!</definedName>
    <definedName name="sand">#REF!</definedName>
    <definedName name="SCH" localSheetId="3">#REF!</definedName>
    <definedName name="SCH">#REF!</definedName>
    <definedName name="SCT">#REF!</definedName>
    <definedName name="sd1p">#REF!</definedName>
    <definedName name="sd3p">#REF!</definedName>
    <definedName name="sdbv" localSheetId="3" hidden="1">{"'Sheet1'!$L$16"}</definedName>
    <definedName name="sdbv" hidden="1">{"'Sheet1'!$L$16"}</definedName>
    <definedName name="SDDNN02" localSheetId="3" hidden="1">{"'Sheet1'!$L$16"}</definedName>
    <definedName name="SDDNN02" hidden="1">{"'Sheet1'!$L$16"}</definedName>
    <definedName name="SDMONG">#REF!</definedName>
    <definedName name="Sheet3" localSheetId="3">BlankMacro1</definedName>
    <definedName name="Sheet3">BlankMacro1</definedName>
    <definedName name="sho" localSheetId="3">#REF!</definedName>
    <definedName name="sho">#REF!</definedName>
    <definedName name="sht" localSheetId="3">#REF!</definedName>
    <definedName name="sht">#REF!</definedName>
    <definedName name="sht1p" localSheetId="3">#REF!</definedName>
    <definedName name="sht1p">#REF!</definedName>
    <definedName name="sht3p">#REF!</definedName>
    <definedName name="SIZE">#REF!</definedName>
    <definedName name="SL_CRD">#REF!</definedName>
    <definedName name="SL_CRS">#REF!</definedName>
    <definedName name="SL_CS">#REF!</definedName>
    <definedName name="SL_DD">#REF!</definedName>
    <definedName name="slg">#REF!</definedName>
    <definedName name="soc3p">#REF!</definedName>
    <definedName name="Soi">#REF!</definedName>
    <definedName name="soichon12">#REF!</definedName>
    <definedName name="soichon24">#REF!</definedName>
    <definedName name="soichon46">#REF!</definedName>
    <definedName name="solieu">#REF!</definedName>
    <definedName name="Sosanh2" localSheetId="3" hidden="1">{"'Sheet1'!$L$16"}</definedName>
    <definedName name="Sosanh2" hidden="1">{"'Sheet1'!$L$16"}</definedName>
    <definedName name="SPEC">#REF!</definedName>
    <definedName name="SpecialPrice" hidden="1">#REF!</definedName>
    <definedName name="SPECSUMMARY">#REF!</definedName>
    <definedName name="ss">#REF!</definedName>
    <definedName name="sss">#REF!</definedName>
    <definedName name="st1p">#REF!</definedName>
    <definedName name="st3p">#REF!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#REF!</definedName>
    <definedName name="Sua" localSheetId="3">BlankMacro1</definedName>
    <definedName name="Sua">BlankMacro1</definedName>
    <definedName name="sub" localSheetId="3">#REF!</definedName>
    <definedName name="sub">#REF!</definedName>
    <definedName name="SUMMARY" localSheetId="3">#REF!</definedName>
    <definedName name="SUMMARY">#REF!</definedName>
    <definedName name="sur" localSheetId="3">#REF!</definedName>
    <definedName name="sur">#REF!</definedName>
    <definedName name="t">#REF!</definedName>
    <definedName name="T.3" localSheetId="3" hidden="1">{"'Sheet1'!$L$16"}</definedName>
    <definedName name="T.3" hidden="1">{"'Sheet1'!$L$16"}</definedName>
    <definedName name="t101p">#REF!</definedName>
    <definedName name="t103p">#REF!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7m">#REF!</definedName>
    <definedName name="t8m">#REF!</definedName>
    <definedName name="Tæng_c_ng_suÊt_hiÖn_t_i">"THOP"</definedName>
    <definedName name="TAN" localSheetId="3">#REF!</definedName>
    <definedName name="TAN">#REF!</definedName>
    <definedName name="Tang">100</definedName>
    <definedName name="TaxTV">10%</definedName>
    <definedName name="TaxXL">5%</definedName>
    <definedName name="TBA" localSheetId="3">#REF!</definedName>
    <definedName name="TBA">#REF!</definedName>
    <definedName name="tbl_ProdInfo" localSheetId="3" hidden="1">#REF!</definedName>
    <definedName name="tbl_ProdInfo" hidden="1">#REF!</definedName>
    <definedName name="tbtram" localSheetId="3">#REF!</definedName>
    <definedName name="tbtram">#REF!</definedName>
    <definedName name="TBXD">#REF!</definedName>
    <definedName name="TC">#REF!</definedName>
    <definedName name="TC_NHANH1">#REF!</definedName>
    <definedName name="TD">#REF!</definedName>
    <definedName name="TD12vl">#REF!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nc1p">#REF!</definedName>
    <definedName name="tdt">#REF!</definedName>
    <definedName name="tdtr2cnc">#REF!</definedName>
    <definedName name="tdtr2cvl">#REF!</definedName>
    <definedName name="tdvl1p">#REF!</definedName>
    <definedName name="tenck">#REF!</definedName>
    <definedName name="Test5">#REF!</definedName>
    <definedName name="tha" localSheetId="3" hidden="1">{"'Sheet1'!$L$16"}</definedName>
    <definedName name="tha" hidden="1">{"'Sheet1'!$L$16"}</definedName>
    <definedName name="thai" localSheetId="3" hidden="1">{"'Sheet1'!$L$16"}</definedName>
    <definedName name="thai" hidden="1">{"'Sheet1'!$L$16"}</definedName>
    <definedName name="thang">#REF!</definedName>
    <definedName name="thanh" localSheetId="3" hidden="1">{"'Sheet1'!$L$16"}</definedName>
    <definedName name="thanh" hidden="1">{"'Sheet1'!$L$16"}</definedName>
    <definedName name="thanhtien">#REF!</definedName>
    <definedName name="THCHM">[2]gvl!$N$38</definedName>
    <definedName name="THchon" localSheetId="3">#REF!</definedName>
    <definedName name="THchon">#REF!</definedName>
    <definedName name="thdt" localSheetId="3">#REF!</definedName>
    <definedName name="thdt">#REF!</definedName>
    <definedName name="THDT_HT_DAO_THUONG" localSheetId="3">#REF!</definedName>
    <definedName name="THDT_HT_DAO_THUONG">#REF!</definedName>
    <definedName name="THDT_HT_XOM_NOI">#REF!</definedName>
    <definedName name="THDT_NPP_XOM_NOI">#REF!</definedName>
    <definedName name="THDT_TBA_XOM_NOI">#REF!</definedName>
    <definedName name="thepban">#REF!</definedName>
    <definedName name="thepgoc25_60">#REF!</definedName>
    <definedName name="thepgoc63_75">#REF!</definedName>
    <definedName name="thepgoc80_100">#REF!</definedName>
    <definedName name="thepma">10500</definedName>
    <definedName name="theptron12" localSheetId="3">#REF!</definedName>
    <definedName name="theptron12">#REF!</definedName>
    <definedName name="theptron14_22" localSheetId="3">#REF!</definedName>
    <definedName name="theptron14_22">#REF!</definedName>
    <definedName name="theptron6_8" localSheetId="3">#REF!</definedName>
    <definedName name="theptron6_8">#REF!</definedName>
    <definedName name="thetichck">#REF!</definedName>
    <definedName name="THGO1pnc">#REF!</definedName>
    <definedName name="thht">#REF!</definedName>
    <definedName name="THI">#REF!</definedName>
    <definedName name="thkp3">#REF!</definedName>
    <definedName name="Tholan.204" localSheetId="3">[4]NhanCong!$G$221</definedName>
    <definedName name="Tholan.204">[4]NhanCong!$G$221</definedName>
    <definedName name="TholanC1.12" localSheetId="3">[4]NhanCong!$G$224</definedName>
    <definedName name="TholanC1.12">[4]NhanCong!$G$224</definedName>
    <definedName name="THOP">"THOP"</definedName>
    <definedName name="THT" localSheetId="3">#REF!</definedName>
    <definedName name="THT">#REF!</definedName>
    <definedName name="thtich1" localSheetId="3">#REF!</definedName>
    <definedName name="thtich1">#REF!</definedName>
    <definedName name="thtich2" localSheetId="3">#REF!</definedName>
    <definedName name="thtich2">#REF!</definedName>
    <definedName name="thtich3">#REF!</definedName>
    <definedName name="thtich4">#REF!</definedName>
    <definedName name="thtich5">#REF!</definedName>
    <definedName name="thtich6">#REF!</definedName>
    <definedName name="thtt">#REF!</definedName>
    <definedName name="ThuyThu.2b" localSheetId="3">[4]NhanCong!$G$159</definedName>
    <definedName name="ThuyThu.2b">[4]NhanCong!$G$159</definedName>
    <definedName name="ThuyThu.3b" localSheetId="3">[4]NhanCong!$G$160</definedName>
    <definedName name="ThuyThu.3b">[4]NhanCong!$G$160</definedName>
    <definedName name="ThuyThu.4b" localSheetId="3">[4]NhanCong!$G$161</definedName>
    <definedName name="ThuyThu.4b">[4]NhanCong!$G$161</definedName>
    <definedName name="Tien" localSheetId="3">#REF!</definedName>
    <definedName name="Tien">#REF!</definedName>
    <definedName name="TIENLUONG" localSheetId="3">#REF!</definedName>
    <definedName name="TIENLUONG">#REF!</definedName>
    <definedName name="Tiepdiama">9500</definedName>
    <definedName name="TIEU_HAO_VAT_TU_DZ0.4KV" localSheetId="3">#REF!</definedName>
    <definedName name="TIEU_HAO_VAT_TU_DZ0.4KV">#REF!</definedName>
    <definedName name="TIEU_HAO_VAT_TU_DZ22KV" localSheetId="3">#REF!</definedName>
    <definedName name="TIEU_HAO_VAT_TU_DZ22KV">#REF!</definedName>
    <definedName name="TIEU_HAO_VAT_TU_TBA" localSheetId="3">#REF!</definedName>
    <definedName name="TIEU_HAO_VAT_TU_TBA">#REF!</definedName>
    <definedName name="TIT">#REF!</definedName>
    <definedName name="TITAN">#REF!</definedName>
    <definedName name="tk">#REF!</definedName>
    <definedName name="TKYB">"TKYB"</definedName>
    <definedName name="TLAC120" localSheetId="3">#REF!</definedName>
    <definedName name="TLAC120">#REF!</definedName>
    <definedName name="TLAC35" localSheetId="3">#REF!</definedName>
    <definedName name="TLAC35">#REF!</definedName>
    <definedName name="TLAC50" localSheetId="3">#REF!</definedName>
    <definedName name="TLAC50">#REF!</definedName>
    <definedName name="TLAC70">#REF!</definedName>
    <definedName name="TLAC95">#REF!</definedName>
    <definedName name="Tle">#REF!</definedName>
    <definedName name="TmayTdien.1b" localSheetId="3">[4]NhanCong!$G$162</definedName>
    <definedName name="TmayTdien.1b">[4]NhanCong!$G$162</definedName>
    <definedName name="TmayTdien.2b" localSheetId="3">[4]NhanCong!$G$163</definedName>
    <definedName name="TmayTdien.2b">[4]NhanCong!$G$163</definedName>
    <definedName name="TmayTdien.3b" localSheetId="3">[4]NhanCong!$G$164</definedName>
    <definedName name="TmayTdien.3b">[4]NhanCong!$G$164</definedName>
    <definedName name="TmayTdien.4b" localSheetId="3">[4]NhanCong!$G$165</definedName>
    <definedName name="TmayTdien.4b">[4]NhanCong!$G$165</definedName>
    <definedName name="Tong_co" localSheetId="3">#REF!</definedName>
    <definedName name="Tong_co">#REF!</definedName>
    <definedName name="TONG_GIA_TRI_CONG_TRINH" localSheetId="3">#REF!</definedName>
    <definedName name="TONG_GIA_TRI_CONG_TRINH">#REF!</definedName>
    <definedName name="TONG_HOP_THI_NGHIEM_DZ0.4KV" localSheetId="3">#REF!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thep">#REF!</definedName>
    <definedName name="tongthetich">#REF!</definedName>
    <definedName name="Tonmai">#REF!</definedName>
    <definedName name="Tp1M1.11s" localSheetId="3">[4]NhanCong!$G$146</definedName>
    <definedName name="Tp1M1.11s">[4]NhanCong!$G$146</definedName>
    <definedName name="Tp1M1.22s" localSheetId="3">[4]NhanCong!$G$154</definedName>
    <definedName name="Tp1M1.22s">[4]NhanCong!$G$154</definedName>
    <definedName name="Tp2KtvHutBung.1b" localSheetId="3">[4]NhanCong!$G$206</definedName>
    <definedName name="Tp2KtvHutBung.1b">[4]NhanCong!$G$206</definedName>
    <definedName name="Tp2KtvHutBung.2b" localSheetId="3">[4]NhanCong!$G$207</definedName>
    <definedName name="Tp2KtvHutBung.2b">[4]NhanCong!$G$207</definedName>
    <definedName name="Tp2KtvHutBung.4b" localSheetId="3">[4]NhanCong!$G$218</definedName>
    <definedName name="Tp2KtvHutBung.4b">[4]NhanCong!$G$218</definedName>
    <definedName name="Tp2M2.21s" localSheetId="3">[4]NhanCong!$G$155</definedName>
    <definedName name="Tp2M2.21s">[4]NhanCong!$G$155</definedName>
    <definedName name="TPLRP" localSheetId="3">#REF!</definedName>
    <definedName name="TPLRP">#REF!</definedName>
    <definedName name="Tra_DM_su_dung" localSheetId="3">#REF!</definedName>
    <definedName name="Tra_DM_su_dung">#REF!</definedName>
    <definedName name="Tra_don_gia_KS" localSheetId="3">#REF!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rong" localSheetId="3" hidden="1">{"'Sheet1'!$L$16"}</definedName>
    <definedName name="trong" hidden="1">{"'Sheet1'!$L$16"}</definedName>
    <definedName name="trt">#REF!</definedName>
    <definedName name="TT_1P">#REF!</definedName>
    <definedName name="TT_3p">#REF!</definedName>
    <definedName name="ttbt">#REF!</definedName>
    <definedName name="TTDD1P">#REF!</definedName>
    <definedName name="TTDKKH">#REF!</definedName>
    <definedName name="tthi">#REF!</definedName>
    <definedName name="Ttr.11s" localSheetId="3">[4]NhanCong!$G$144</definedName>
    <definedName name="Ttr.11s">[4]NhanCong!$G$144</definedName>
    <definedName name="Ttr.12s" localSheetId="3">[4]NhanCong!$G$145</definedName>
    <definedName name="Ttr.12s">[4]NhanCong!$G$145</definedName>
    <definedName name="Ttr.21s" localSheetId="3">[4]NhanCong!$G$151</definedName>
    <definedName name="Ttr.21s">[4]NhanCong!$G$151</definedName>
    <definedName name="Ttr.22s" localSheetId="3">[4]NhanCong!$G$152</definedName>
    <definedName name="Ttr.22s">[4]NhanCong!$G$152</definedName>
    <definedName name="TTrHut300.1s" localSheetId="3">[4]NhanCong!$G$177</definedName>
    <definedName name="TTrHut300.1s">[4]NhanCong!$G$177</definedName>
    <definedName name="TTrHutCuoc300.1s" localSheetId="3">[4]NhanCong!$G$186</definedName>
    <definedName name="TTrHutCuoc300.1s">[4]NhanCong!$G$186</definedName>
    <definedName name="TTrHutCuoc300.2b" localSheetId="3">[4]NhanCong!$G$199</definedName>
    <definedName name="TTrHutCuoc300.2b">[4]NhanCong!$G$199</definedName>
    <definedName name="TTrHutCuoc300.2s" localSheetId="3">[4]NhanCong!$G$187</definedName>
    <definedName name="TTrHutCuoc300.2s">[4]NhanCong!$G$187</definedName>
    <definedName name="TTrHutCuoc800.2b" localSheetId="3">[4]NhanCong!$G$210</definedName>
    <definedName name="TTrHutCuoc800.2b">[4]NhanCong!$G$210</definedName>
    <definedName name="ttronmk" localSheetId="3">#REF!</definedName>
    <definedName name="ttronmk">#REF!</definedName>
    <definedName name="ttttt" localSheetId="3" hidden="1">{"'Sheet1'!$L$16"}</definedName>
    <definedName name="ttttt" hidden="1">{"'Sheet1'!$L$16"}</definedName>
    <definedName name="ttttttttttt" localSheetId="3" hidden="1">{"'Sheet1'!$L$16"}</definedName>
    <definedName name="ttttttttttt" hidden="1">{"'Sheet1'!$L$16"}</definedName>
    <definedName name="tuyennhanh" localSheetId="3" hidden="1">{"'Sheet1'!$L$16"}</definedName>
    <definedName name="tuyennhanh" hidden="1">{"'Sheet1'!$L$16"}</definedName>
    <definedName name="tv75nc">#REF!</definedName>
    <definedName name="tv75vl">#REF!</definedName>
    <definedName name="TW">#REF!</definedName>
    <definedName name="ty_le">#REF!</definedName>
    <definedName name="ty_le_BTN">#REF!</definedName>
    <definedName name="Ty_le1">#REF!</definedName>
    <definedName name="TYT" localSheetId="3">BlankMacro1</definedName>
    <definedName name="TYT">BlankMacro1</definedName>
    <definedName name="ưewqêqư" localSheetId="3" hidden="1">{"'Sheet1'!$L$16"}</definedName>
    <definedName name="ưewqêqư" hidden="1">{"'Sheet1'!$L$16"}</definedName>
    <definedName name="unitt" localSheetId="3">BlankMacro1</definedName>
    <definedName name="unitt">BlankMacro1</definedName>
    <definedName name="upnoc" localSheetId="3">#REF!</definedName>
    <definedName name="upnoc">#REF!</definedName>
    <definedName name="ut" localSheetId="3">BlankMacro1</definedName>
    <definedName name="ut">BlankMacro1</definedName>
    <definedName name="uu" localSheetId="3">#REF!</definedName>
    <definedName name="uu">#REF!</definedName>
    <definedName name="VAÄT_LIEÄU">"ATRAM"</definedName>
    <definedName name="Value0" localSheetId="3">#REF!</definedName>
    <definedName name="Value0">#REF!</definedName>
    <definedName name="Value1" localSheetId="3">#REF!</definedName>
    <definedName name="Value1">#REF!</definedName>
    <definedName name="Value10" localSheetId="3">#REF!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3">IF(Loan_Amount*Interest_Rate*Loan_Years*Loan_Start&gt;0,1,0)</definedName>
    <definedName name="Values_Entered">IF(Loan_Amount*Interest_Rate*Loan_Years*Loan_Start&gt;0,1,0)</definedName>
    <definedName name="VAN_CHUYEN_DUONG_DAI_DZ0.4KV" localSheetId="3">#REF!</definedName>
    <definedName name="VAN_CHUYEN_DUONG_DAI_DZ0.4KV">#REF!</definedName>
    <definedName name="VAN_CHUYEN_DUONG_DAI_DZ22KV" localSheetId="3">#REF!</definedName>
    <definedName name="VAN_CHUYEN_DUONG_DAI_DZ22KV">#REF!</definedName>
    <definedName name="VAN_CHUYEN_VAT_TU_CHUNG" localSheetId="3">#REF!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M" localSheetId="3"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lcat" localSheetId="3">[6]!vclcat</definedName>
    <definedName name="vclcat">[6]!vclcat</definedName>
    <definedName name="vcoto" localSheetId="3" hidden="1">{"'Sheet1'!$L$16"}</definedName>
    <definedName name="vcoto" hidden="1">{"'Sheet1'!$L$16"}</definedName>
    <definedName name="vct">#REF!</definedName>
    <definedName name="vctb">#REF!</definedName>
    <definedName name="VCVBT1">#REF!</definedName>
    <definedName name="VCVBT2">#REF!</definedName>
    <definedName name="vd3p">#REF!</definedName>
    <definedName name="vgk">#REF!</definedName>
    <definedName name="vgt">#REF!</definedName>
    <definedName name="VH" localSheetId="3" hidden="1">{"'Sheet1'!$L$16"}</definedName>
    <definedName name="VH" hidden="1">{"'Sheet1'!$L$16"}</definedName>
    <definedName name="Viet" localSheetId="3" hidden="1">{"'Sheet1'!$L$16"}</definedName>
    <definedName name="Viet" hidden="1">{"'Sheet1'!$L$16"}</definedName>
    <definedName name="vkcauthang">#REF!</definedName>
    <definedName name="vksan">#REF!</definedName>
    <definedName name="vl">#REF!</definedName>
    <definedName name="vl3p">#REF!</definedName>
    <definedName name="Vlcap0.7">#REF!</definedName>
    <definedName name="VLcap1">#REF!</definedName>
    <definedName name="vlct" localSheetId="3" hidden="1">{"'Sheet1'!$L$16"}</definedName>
    <definedName name="vlct" hidden="1">{"'Sheet1'!$L$16"}</definedName>
    <definedName name="VLCT3p">#REF!</definedName>
    <definedName name="vldg">#REF!</definedName>
    <definedName name="vldn400">#REF!</definedName>
    <definedName name="vldn600">#REF!</definedName>
    <definedName name="VLIEU">#REF!</definedName>
    <definedName name="VLM">#REF!</definedName>
    <definedName name="vltram">#REF!</definedName>
    <definedName name="vr3p">#REF!</definedName>
    <definedName name="Vua">#REF!</definedName>
    <definedName name="W">#REF!</definedName>
    <definedName name="Winpoints">3</definedName>
    <definedName name="WIRE1">5</definedName>
    <definedName name="wrn.chi._.tiÆt." localSheetId="3" hidden="1">{#N/A,#N/A,FALSE,"Chi tiÆt"}</definedName>
    <definedName name="wrn.chi._.tiÆt." hidden="1">{#N/A,#N/A,FALSE,"Chi tiÆt"}</definedName>
    <definedName name="wrn.vd." localSheetId="3" hidden="1">{#N/A,#N/A,TRUE,"BT M200 da 10x20"}</definedName>
    <definedName name="wrn.vd." hidden="1">{#N/A,#N/A,TRUE,"BT M200 da 10x20"}</definedName>
    <definedName name="X" localSheetId="3">#REF!</definedName>
    <definedName name="X">#REF!</definedName>
    <definedName name="x1pind" localSheetId="3">#REF!</definedName>
    <definedName name="x1pind">#REF!</definedName>
    <definedName name="X1pINDnc" localSheetId="3">#REF!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BCNCKT">5600</definedName>
    <definedName name="XCCT">0.5</definedName>
    <definedName name="xd0.6">#REF!</definedName>
    <definedName name="xd1.3">#REF!</definedName>
    <definedName name="xd1.5">#REF!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vc">#REF!</definedName>
    <definedName name="XIGvl">#REF!</definedName>
    <definedName name="ximang">#REF!</definedName>
    <definedName name="xin">#REF!</definedName>
    <definedName name="xin190">#REF!</definedName>
    <definedName name="xin190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t1p">#REF!</definedName>
    <definedName name="XINvc">#REF!</definedName>
    <definedName name="XINvl">#REF!</definedName>
    <definedName name="xit">#REF!</definedName>
    <definedName name="xit1">#REF!</definedName>
    <definedName name="xit1p">#REF!</definedName>
    <definedName name="xit23p">#REF!</definedName>
    <definedName name="xit3p">#REF!</definedName>
    <definedName name="XITnc">#REF!</definedName>
    <definedName name="XITvc">#REF!</definedName>
    <definedName name="XITvl">#REF!</definedName>
    <definedName name="xk0.6">#REF!</definedName>
    <definedName name="xk1.3">#REF!</definedName>
    <definedName name="xk1.5">#REF!</definedName>
    <definedName name="xld1.4">#REF!</definedName>
    <definedName name="xlk1.4">#REF!</definedName>
    <definedName name="xls" localSheetId="3" hidden="1">{"'Sheet1'!$L$16"}</definedName>
    <definedName name="xls" hidden="1">{"'Sheet1'!$L$16"}</definedName>
    <definedName name="xlttbninh" localSheetId="3" hidden="1">{"'Sheet1'!$L$16"}</definedName>
    <definedName name="xlttbninh" hidden="1">{"'Sheet1'!$L$16"}</definedName>
    <definedName name="xm">[2]gvl!$N$16</definedName>
    <definedName name="xm..">[2]gvl!$N$16</definedName>
    <definedName name="xm.1">[2]gvl!$N$16</definedName>
    <definedName name="xmcax" localSheetId="3">#REF!</definedName>
    <definedName name="xmcax">#REF!</definedName>
    <definedName name="xn" localSheetId="3">#REF!</definedName>
    <definedName name="xn">#REF!</definedName>
    <definedName name="XTKKTTC">7500</definedName>
    <definedName name="xx" localSheetId="3">#REF!</definedName>
    <definedName name="xx">#REF!</definedName>
    <definedName name="y" localSheetId="3">#REF!</definedName>
    <definedName name="y">#REF!</definedName>
    <definedName name="yuyuyu" localSheetId="3" hidden="1">{"'Sheet1'!$L$16"}</definedName>
    <definedName name="yuyuyu" hidden="1">{"'Sheet1'!$L$16"}</definedName>
    <definedName name="z">#REF!</definedName>
    <definedName name="ZXD">#REF!</definedName>
    <definedName name="ZYX">#REF!</definedName>
    <definedName name="ZZZ">#REF!</definedName>
    <definedName name="템플리트모듈1" localSheetId="3">BlankMacro1</definedName>
    <definedName name="템플리트모듈1">BlankMacro1</definedName>
    <definedName name="템플리트모듈2" localSheetId="3">BlankMacro1</definedName>
    <definedName name="템플리트모듈2">BlankMacro1</definedName>
    <definedName name="템플리트모듈3" localSheetId="3">BlankMacro1</definedName>
    <definedName name="템플리트모듈3">BlankMacro1</definedName>
    <definedName name="템플리트모듈4" localSheetId="3">BlankMacro1</definedName>
    <definedName name="템플리트모듈4">BlankMacro1</definedName>
    <definedName name="템플리트모듈5" localSheetId="3">BlankMacro1</definedName>
    <definedName name="템플리트모듈5">BlankMacro1</definedName>
    <definedName name="템플리트모듈6" localSheetId="3">BlankMacro1</definedName>
    <definedName name="템플리트모듈6">BlankMacro1</definedName>
    <definedName name="피팅" localSheetId="3">BlankMacro1</definedName>
    <definedName name="피팅">BlankMacro1</definedName>
  </definedNames>
  <calcPr calcId="144525" calcOnSave="0"/>
</workbook>
</file>

<file path=xl/calcChain.xml><?xml version="1.0" encoding="utf-8"?>
<calcChain xmlns="http://schemas.openxmlformats.org/spreadsheetml/2006/main">
  <c r="F26" i="53" l="1"/>
  <c r="F11" i="53"/>
  <c r="F27" i="53" l="1"/>
  <c r="F41" i="53" l="1"/>
  <c r="F37" i="53"/>
  <c r="F36" i="53"/>
  <c r="J34" i="17"/>
  <c r="D28" i="20"/>
  <c r="G23" i="20"/>
  <c r="Q64" i="17" l="1"/>
  <c r="D64" i="17" s="1"/>
  <c r="Q75" i="13" l="1"/>
  <c r="N39" i="17"/>
  <c r="L42" i="13" s="1"/>
  <c r="N38" i="17"/>
  <c r="P37" i="17"/>
  <c r="N37" i="17" l="1"/>
  <c r="D37" i="17" s="1"/>
  <c r="L40" i="13" s="1"/>
  <c r="N40" i="17"/>
  <c r="L44" i="13" s="1"/>
  <c r="F39" i="53"/>
  <c r="F33" i="53"/>
  <c r="E15" i="17" s="1"/>
  <c r="L36" i="13" s="1"/>
  <c r="F34" i="53"/>
  <c r="E33" i="17" s="1"/>
  <c r="L37" i="13" s="1"/>
  <c r="F35" i="53"/>
  <c r="E36" i="17" s="1"/>
  <c r="F38" i="53"/>
  <c r="M38" i="17" s="1"/>
  <c r="F31" i="53"/>
  <c r="Q31" i="17" s="1"/>
  <c r="F29" i="53"/>
  <c r="F30" i="53"/>
  <c r="Q30" i="17" s="1"/>
  <c r="F28" i="53"/>
  <c r="F25" i="53"/>
  <c r="Q25" i="17" s="1"/>
  <c r="F15" i="53"/>
  <c r="Q14" i="17" s="1"/>
  <c r="F19" i="53"/>
  <c r="Q18" i="17" s="1"/>
  <c r="F13" i="53"/>
  <c r="Q12" i="17" s="1"/>
  <c r="F17" i="53"/>
  <c r="Q16" i="17" s="1"/>
  <c r="F14" i="53"/>
  <c r="F16" i="53"/>
  <c r="Q15" i="17" s="1"/>
  <c r="L18" i="13" s="1"/>
  <c r="F23" i="53"/>
  <c r="Q22" i="17" s="1"/>
  <c r="F21" i="53"/>
  <c r="Q20" i="17" s="1"/>
  <c r="F12" i="53"/>
  <c r="F18" i="53"/>
  <c r="Q17" i="17" s="1"/>
  <c r="C22" i="53" l="1"/>
  <c r="F22" i="53" s="1"/>
  <c r="Q21" i="17" s="1"/>
  <c r="C39" i="53"/>
  <c r="C32" i="53" s="1"/>
  <c r="D30" i="20"/>
  <c r="C10" i="53" l="1"/>
  <c r="C9" i="53" s="1"/>
  <c r="C8" i="53" s="1"/>
  <c r="C7" i="53" s="1"/>
  <c r="D26" i="20"/>
  <c r="J38" i="22" l="1"/>
  <c r="M16" i="23" l="1"/>
  <c r="M15" i="23"/>
  <c r="H32" i="55" l="1"/>
  <c r="G32" i="55"/>
  <c r="F32" i="55"/>
  <c r="F25" i="55" s="1"/>
  <c r="E32" i="55"/>
  <c r="D32" i="55"/>
  <c r="C32" i="55"/>
  <c r="G27" i="55"/>
  <c r="G26" i="55" s="1"/>
  <c r="G25" i="55" s="1"/>
  <c r="D27" i="55"/>
  <c r="D26" i="55" s="1"/>
  <c r="F26" i="55"/>
  <c r="E26" i="55"/>
  <c r="E25" i="55" s="1"/>
  <c r="C26" i="55"/>
  <c r="F20" i="55"/>
  <c r="H18" i="55"/>
  <c r="G18" i="55"/>
  <c r="F18" i="55"/>
  <c r="E18" i="55"/>
  <c r="D18" i="55"/>
  <c r="C18" i="55"/>
  <c r="G17" i="55"/>
  <c r="G15" i="55" s="1"/>
  <c r="H15" i="55"/>
  <c r="F15" i="55"/>
  <c r="E15" i="55"/>
  <c r="E14" i="55" s="1"/>
  <c r="D15" i="55"/>
  <c r="C15" i="55"/>
  <c r="D14" i="55"/>
  <c r="C14" i="55"/>
  <c r="G10" i="55"/>
  <c r="G9" i="55" s="1"/>
  <c r="H9" i="55"/>
  <c r="F9" i="55"/>
  <c r="E9" i="55"/>
  <c r="D9" i="55"/>
  <c r="C9" i="55"/>
  <c r="G14" i="55" l="1"/>
  <c r="F14" i="55"/>
  <c r="H14" i="55"/>
  <c r="C25" i="55"/>
  <c r="D25" i="55"/>
  <c r="D7" i="20"/>
  <c r="H10" i="22"/>
  <c r="H8" i="22" s="1"/>
  <c r="H20" i="22" l="1"/>
  <c r="H19" i="22" s="1"/>
  <c r="F7" i="20"/>
  <c r="F77" i="13"/>
  <c r="E77" i="13" s="1"/>
  <c r="G11" i="15"/>
  <c r="G12" i="15"/>
  <c r="G13" i="15"/>
  <c r="G14" i="15"/>
  <c r="G15" i="15"/>
  <c r="G17" i="15"/>
  <c r="G18" i="15"/>
  <c r="G19" i="15"/>
  <c r="G20" i="15"/>
  <c r="G10" i="15"/>
  <c r="E16" i="15"/>
  <c r="G16" i="15" s="1"/>
  <c r="F9" i="15"/>
  <c r="Q10" i="17"/>
  <c r="G9" i="15" l="1"/>
  <c r="E9" i="15"/>
  <c r="H28" i="22"/>
  <c r="H27" i="22" s="1"/>
  <c r="H25" i="22" s="1"/>
  <c r="H33" i="22" s="1"/>
  <c r="D9" i="15"/>
  <c r="C9" i="15"/>
  <c r="D62" i="17"/>
  <c r="D61" i="17"/>
  <c r="D58" i="17"/>
  <c r="D57" i="17"/>
  <c r="D54" i="17"/>
  <c r="D53" i="17"/>
  <c r="D55" i="17"/>
  <c r="D56" i="17"/>
  <c r="D59" i="17"/>
  <c r="D60" i="17"/>
  <c r="D63" i="17"/>
  <c r="G43" i="17"/>
  <c r="Q29" i="17"/>
  <c r="D10" i="17"/>
  <c r="L13" i="13" s="1"/>
  <c r="E39" i="53"/>
  <c r="D9" i="18"/>
  <c r="Q11" i="17"/>
  <c r="L14" i="13" s="1"/>
  <c r="F67" i="53"/>
  <c r="F66" i="53"/>
  <c r="F59" i="53"/>
  <c r="F58" i="53"/>
  <c r="F63" i="53"/>
  <c r="F64" i="53"/>
  <c r="F62" i="53"/>
  <c r="F65" i="53"/>
  <c r="F61" i="53"/>
  <c r="F60" i="53"/>
  <c r="F57" i="53"/>
  <c r="H32" i="22" l="1"/>
  <c r="J33" i="22"/>
  <c r="F44" i="53"/>
  <c r="Q28" i="17"/>
  <c r="Q27" i="17"/>
  <c r="Q26" i="17"/>
  <c r="M31" i="23" l="1"/>
  <c r="F23" i="20"/>
  <c r="E17" i="20"/>
  <c r="F19" i="20"/>
  <c r="F21" i="20"/>
  <c r="F22" i="20"/>
  <c r="F25" i="20"/>
  <c r="F26" i="20"/>
  <c r="F28" i="20"/>
  <c r="F29" i="20"/>
  <c r="F30" i="20"/>
  <c r="F27" i="20"/>
  <c r="F24" i="20"/>
  <c r="F20" i="20"/>
  <c r="D31" i="23"/>
  <c r="N29" i="23"/>
  <c r="N30" i="23"/>
  <c r="N28" i="23"/>
  <c r="M29" i="23"/>
  <c r="M30" i="23"/>
  <c r="D68" i="53" l="1"/>
  <c r="D67" i="53"/>
  <c r="M20" i="15" s="1"/>
  <c r="D66" i="53"/>
  <c r="M19" i="15" s="1"/>
  <c r="D65" i="53"/>
  <c r="M18" i="15" s="1"/>
  <c r="D64" i="53"/>
  <c r="M16" i="15" s="1"/>
  <c r="D63" i="53"/>
  <c r="M17" i="15" s="1"/>
  <c r="D62" i="53"/>
  <c r="M15" i="15" s="1"/>
  <c r="D61" i="53"/>
  <c r="M14" i="15" s="1"/>
  <c r="D60" i="53"/>
  <c r="M11" i="15" s="1"/>
  <c r="D59" i="53"/>
  <c r="M13" i="15" s="1"/>
  <c r="D58" i="53"/>
  <c r="M12" i="15" s="1"/>
  <c r="D57" i="53"/>
  <c r="M10" i="15" s="1"/>
  <c r="R10" i="15" s="1"/>
  <c r="J56" i="53"/>
  <c r="I56" i="53"/>
  <c r="H56" i="53"/>
  <c r="G56" i="53"/>
  <c r="F56" i="53"/>
  <c r="E56" i="53"/>
  <c r="D55" i="53"/>
  <c r="D54" i="53"/>
  <c r="D53" i="53"/>
  <c r="D52" i="53"/>
  <c r="D51" i="53"/>
  <c r="D50" i="53"/>
  <c r="D49" i="53"/>
  <c r="D48" i="53"/>
  <c r="D47" i="53"/>
  <c r="D46" i="53"/>
  <c r="D45" i="53"/>
  <c r="D44" i="53"/>
  <c r="D43" i="53"/>
  <c r="J42" i="53"/>
  <c r="I42" i="53"/>
  <c r="H42" i="53"/>
  <c r="G42" i="53"/>
  <c r="F42" i="53"/>
  <c r="E42" i="53"/>
  <c r="D41" i="53"/>
  <c r="D40" i="53"/>
  <c r="E32" i="53"/>
  <c r="D35" i="53"/>
  <c r="D34" i="53"/>
  <c r="J32" i="53"/>
  <c r="I32" i="53"/>
  <c r="H32" i="53"/>
  <c r="G32" i="53"/>
  <c r="D31" i="53"/>
  <c r="D30" i="53"/>
  <c r="D29" i="53"/>
  <c r="D28" i="53"/>
  <c r="D27" i="53"/>
  <c r="D26" i="53"/>
  <c r="D25" i="53"/>
  <c r="J24" i="53"/>
  <c r="I24" i="53"/>
  <c r="H24" i="53"/>
  <c r="G24" i="53"/>
  <c r="F24" i="53"/>
  <c r="E24" i="53"/>
  <c r="D22" i="53"/>
  <c r="D21" i="53"/>
  <c r="E20" i="53"/>
  <c r="F20" i="53" s="1"/>
  <c r="Q19" i="17" s="1"/>
  <c r="D19" i="53"/>
  <c r="D18" i="53"/>
  <c r="D17" i="53"/>
  <c r="D16" i="53"/>
  <c r="D14" i="53"/>
  <c r="J10" i="53"/>
  <c r="I10" i="53"/>
  <c r="H10" i="53"/>
  <c r="G10" i="53"/>
  <c r="I9" i="53" l="1"/>
  <c r="I8" i="53" s="1"/>
  <c r="I7" i="53" s="1"/>
  <c r="J9" i="53"/>
  <c r="J8" i="53" s="1"/>
  <c r="J7" i="53" s="1"/>
  <c r="E10" i="53"/>
  <c r="E9" i="53" s="1"/>
  <c r="E8" i="53" s="1"/>
  <c r="E7" i="53" s="1"/>
  <c r="D33" i="53"/>
  <c r="G9" i="53"/>
  <c r="G8" i="53" s="1"/>
  <c r="G7" i="53" s="1"/>
  <c r="F10" i="53"/>
  <c r="F9" i="53" s="1"/>
  <c r="D42" i="53"/>
  <c r="D15" i="53"/>
  <c r="D56" i="53"/>
  <c r="O56" i="53" s="1"/>
  <c r="D39" i="53"/>
  <c r="H9" i="53"/>
  <c r="H8" i="53" s="1"/>
  <c r="H7" i="53" s="1"/>
  <c r="D13" i="53"/>
  <c r="D36" i="53"/>
  <c r="D23" i="53"/>
  <c r="D37" i="53"/>
  <c r="D11" i="53"/>
  <c r="F32" i="53"/>
  <c r="D24" i="53"/>
  <c r="D38" i="53"/>
  <c r="D12" i="53"/>
  <c r="D16" i="20"/>
  <c r="D14" i="20"/>
  <c r="D10" i="20" s="1"/>
  <c r="D9" i="20" s="1"/>
  <c r="L31" i="23"/>
  <c r="D20" i="53" l="1"/>
  <c r="D10" i="53" s="1"/>
  <c r="D9" i="53" s="1"/>
  <c r="D32" i="53"/>
  <c r="F8" i="53"/>
  <c r="F7" i="53" s="1"/>
  <c r="K26" i="23"/>
  <c r="M28" i="23"/>
  <c r="L26" i="23"/>
  <c r="N31" i="23"/>
  <c r="J31" i="23"/>
  <c r="D8" i="53" l="1"/>
  <c r="D7" i="53" s="1"/>
  <c r="J26" i="23"/>
  <c r="H28" i="55" s="1"/>
  <c r="F18" i="20"/>
  <c r="F17" i="20" s="1"/>
  <c r="G17" i="20" s="1"/>
  <c r="D17" i="20"/>
  <c r="L50" i="23"/>
  <c r="K50" i="23"/>
  <c r="J50" i="23"/>
  <c r="I50" i="23"/>
  <c r="J49" i="23"/>
  <c r="J48" i="23"/>
  <c r="J47" i="23" s="1"/>
  <c r="L47" i="23"/>
  <c r="K47" i="23"/>
  <c r="I47" i="23"/>
  <c r="J46" i="23"/>
  <c r="J45" i="23"/>
  <c r="J44" i="23"/>
  <c r="J43" i="23"/>
  <c r="J42" i="23"/>
  <c r="L41" i="23"/>
  <c r="L40" i="23" s="1"/>
  <c r="K41" i="23"/>
  <c r="I41" i="23"/>
  <c r="I40" i="23" s="1"/>
  <c r="J39" i="23"/>
  <c r="J38" i="23" s="1"/>
  <c r="L38" i="23"/>
  <c r="K38" i="23"/>
  <c r="I38" i="23"/>
  <c r="J35" i="23"/>
  <c r="H31" i="55" s="1"/>
  <c r="J34" i="23"/>
  <c r="J33" i="23"/>
  <c r="J32" i="23"/>
  <c r="I31" i="23"/>
  <c r="J30" i="23"/>
  <c r="J29" i="23"/>
  <c r="J28" i="23"/>
  <c r="J23" i="23"/>
  <c r="J22" i="23"/>
  <c r="L21" i="23"/>
  <c r="J21" i="23"/>
  <c r="J20" i="23"/>
  <c r="J19" i="23"/>
  <c r="L18" i="23"/>
  <c r="K18" i="23"/>
  <c r="M35" i="23" s="1"/>
  <c r="I18" i="23"/>
  <c r="J15" i="23"/>
  <c r="J13" i="23" s="1"/>
  <c r="J12" i="23" s="1"/>
  <c r="K14" i="23"/>
  <c r="J14" i="23"/>
  <c r="I14" i="23"/>
  <c r="I13" i="23" s="1"/>
  <c r="I12" i="23" s="1"/>
  <c r="I10" i="23" s="1"/>
  <c r="L13" i="23"/>
  <c r="L12" i="23" s="1"/>
  <c r="K13" i="23"/>
  <c r="K12" i="23" s="1"/>
  <c r="I37" i="23" l="1"/>
  <c r="I36" i="23" s="1"/>
  <c r="H26" i="55"/>
  <c r="H25" i="55" s="1"/>
  <c r="L37" i="23"/>
  <c r="L36" i="23" s="1"/>
  <c r="M13" i="23"/>
  <c r="N26" i="23"/>
  <c r="J10" i="23"/>
  <c r="M10" i="23"/>
  <c r="M7" i="23"/>
  <c r="L10" i="23"/>
  <c r="K40" i="23"/>
  <c r="K37" i="23" s="1"/>
  <c r="K36" i="23" s="1"/>
  <c r="K10" i="23"/>
  <c r="M14" i="23"/>
  <c r="J18" i="23"/>
  <c r="J41" i="23"/>
  <c r="J40" i="23" s="1"/>
  <c r="J37" i="23" s="1"/>
  <c r="J36" i="23" s="1"/>
  <c r="I9" i="23"/>
  <c r="O8" i="53"/>
  <c r="D8" i="20"/>
  <c r="D6" i="20" s="1"/>
  <c r="J9" i="23"/>
  <c r="P19" i="2"/>
  <c r="N19" i="2"/>
  <c r="M19" i="2" s="1"/>
  <c r="P18" i="2"/>
  <c r="N18" i="2"/>
  <c r="M18" i="2" s="1"/>
  <c r="P17" i="2"/>
  <c r="N17" i="2"/>
  <c r="M17" i="2" s="1"/>
  <c r="P16" i="2"/>
  <c r="N16" i="2"/>
  <c r="M16" i="2" s="1"/>
  <c r="P15" i="2"/>
  <c r="N15" i="2"/>
  <c r="M15" i="2" s="1"/>
  <c r="P14" i="2"/>
  <c r="N14" i="2"/>
  <c r="M14" i="2" s="1"/>
  <c r="P13" i="2"/>
  <c r="N13" i="2"/>
  <c r="M13" i="2" s="1"/>
  <c r="P12" i="2"/>
  <c r="N12" i="2"/>
  <c r="M12" i="2" s="1"/>
  <c r="P11" i="2"/>
  <c r="N11" i="2"/>
  <c r="M11" i="2" s="1"/>
  <c r="P10" i="2"/>
  <c r="N10" i="2"/>
  <c r="M10" i="2" s="1"/>
  <c r="P9" i="2"/>
  <c r="N9" i="2"/>
  <c r="M9" i="2" s="1"/>
  <c r="O8" i="2"/>
  <c r="L9" i="23" l="1"/>
  <c r="K9" i="23"/>
  <c r="P8" i="2"/>
  <c r="H18" i="22"/>
  <c r="M8" i="2"/>
  <c r="N8" i="2"/>
  <c r="D40" i="24"/>
  <c r="H17" i="22" l="1"/>
  <c r="H23" i="22" s="1"/>
  <c r="D10" i="18"/>
  <c r="D23" i="18"/>
  <c r="D24" i="18"/>
  <c r="D25" i="18"/>
  <c r="N13" i="18" l="1"/>
  <c r="D11" i="18"/>
  <c r="M28" i="47" l="1"/>
  <c r="M20" i="47"/>
  <c r="E10" i="22" l="1"/>
  <c r="E34" i="24" l="1"/>
  <c r="C16" i="20" l="1"/>
  <c r="D20" i="23"/>
  <c r="H14" i="23"/>
  <c r="G21" i="48"/>
  <c r="G26" i="22"/>
  <c r="N12" i="18"/>
  <c r="K42" i="13"/>
  <c r="K14" i="52"/>
  <c r="J14" i="52"/>
  <c r="I14" i="52"/>
  <c r="F14" i="52"/>
  <c r="E14" i="52"/>
  <c r="C14" i="52"/>
  <c r="L13" i="52"/>
  <c r="D13" i="52"/>
  <c r="D14" i="52" s="1"/>
  <c r="L12" i="52"/>
  <c r="H12" i="52"/>
  <c r="G12" i="52"/>
  <c r="L11" i="52"/>
  <c r="H11" i="52"/>
  <c r="G11" i="52"/>
  <c r="L10" i="52"/>
  <c r="H10" i="52"/>
  <c r="G10" i="52"/>
  <c r="L9" i="52"/>
  <c r="H9" i="52"/>
  <c r="G9" i="52"/>
  <c r="N8" i="18" l="1"/>
  <c r="D12" i="18"/>
  <c r="L14" i="52"/>
  <c r="H13" i="52"/>
  <c r="H14" i="52" s="1"/>
  <c r="G13" i="52"/>
  <c r="G14" i="52" s="1"/>
  <c r="X39" i="51" l="1"/>
  <c r="L39" i="51"/>
  <c r="Y37" i="51"/>
  <c r="Y32" i="51"/>
  <c r="X31" i="51"/>
  <c r="X30" i="51"/>
  <c r="V30" i="51"/>
  <c r="V29" i="51" s="1"/>
  <c r="U29" i="51"/>
  <c r="W29" i="51"/>
  <c r="Y29" i="51"/>
  <c r="T31" i="51"/>
  <c r="T30" i="51"/>
  <c r="Y15" i="51"/>
  <c r="T29" i="51" l="1"/>
  <c r="X29" i="51"/>
  <c r="G14" i="46" l="1"/>
  <c r="G16" i="46"/>
  <c r="U52" i="51" l="1"/>
  <c r="T52" i="51" s="1"/>
  <c r="U51" i="51"/>
  <c r="T51" i="51" s="1"/>
  <c r="U50" i="51"/>
  <c r="T50" i="51" s="1"/>
  <c r="U49" i="51"/>
  <c r="T49" i="51" s="1"/>
  <c r="U48" i="51"/>
  <c r="T48" i="51" s="1"/>
  <c r="U47" i="51"/>
  <c r="T47" i="51" s="1"/>
  <c r="U46" i="51"/>
  <c r="T46" i="51" s="1"/>
  <c r="U45" i="51"/>
  <c r="T45" i="51" s="1"/>
  <c r="U44" i="51"/>
  <c r="T44" i="51" s="1"/>
  <c r="U43" i="51"/>
  <c r="T43" i="51" s="1"/>
  <c r="U42" i="51"/>
  <c r="T42" i="51" s="1"/>
  <c r="T35" i="51"/>
  <c r="U33" i="51"/>
  <c r="U32" i="51" s="1"/>
  <c r="U23" i="51"/>
  <c r="U21" i="51" s="1"/>
  <c r="T23" i="51"/>
  <c r="T21" i="51" s="1"/>
  <c r="U16" i="51"/>
  <c r="T16" i="51"/>
  <c r="U15" i="51"/>
  <c r="T15" i="51" s="1"/>
  <c r="T13" i="51" s="1"/>
  <c r="X52" i="51"/>
  <c r="J13" i="51"/>
  <c r="K13" i="51"/>
  <c r="J16" i="51"/>
  <c r="K16" i="51"/>
  <c r="J23" i="51"/>
  <c r="J21" i="51" s="1"/>
  <c r="K23" i="51"/>
  <c r="K21" i="51" s="1"/>
  <c r="J26" i="51"/>
  <c r="K26" i="51"/>
  <c r="J32" i="51"/>
  <c r="K32" i="51"/>
  <c r="J34" i="51"/>
  <c r="J41" i="51"/>
  <c r="K41" i="51"/>
  <c r="J54" i="51"/>
  <c r="J53" i="51" s="1"/>
  <c r="K54" i="51"/>
  <c r="K53" i="51" s="1"/>
  <c r="Y56" i="51"/>
  <c r="X56" i="51" s="1"/>
  <c r="L56" i="51"/>
  <c r="H56" i="51"/>
  <c r="X55" i="51"/>
  <c r="L55" i="51"/>
  <c r="H55" i="51"/>
  <c r="O54" i="51"/>
  <c r="O53" i="51" s="1"/>
  <c r="N54" i="51"/>
  <c r="N53" i="51" s="1"/>
  <c r="M54" i="51"/>
  <c r="M53" i="51" s="1"/>
  <c r="I53" i="51"/>
  <c r="W52" i="51"/>
  <c r="V52" i="51" s="1"/>
  <c r="R52" i="51"/>
  <c r="P52" i="51"/>
  <c r="H52" i="51"/>
  <c r="X51" i="51"/>
  <c r="W51" i="51"/>
  <c r="V51" i="51" s="1"/>
  <c r="S51" i="51"/>
  <c r="R51" i="51" s="1"/>
  <c r="P51" i="51"/>
  <c r="X50" i="51"/>
  <c r="W50" i="51"/>
  <c r="V50" i="51" s="1"/>
  <c r="S50" i="51"/>
  <c r="R50" i="51" s="1"/>
  <c r="P50" i="51"/>
  <c r="X49" i="51"/>
  <c r="W49" i="51"/>
  <c r="V49" i="51" s="1"/>
  <c r="S49" i="51"/>
  <c r="R49" i="51" s="1"/>
  <c r="P49" i="51"/>
  <c r="X48" i="51"/>
  <c r="W48" i="51"/>
  <c r="V48" i="51" s="1"/>
  <c r="S48" i="51"/>
  <c r="R48" i="51" s="1"/>
  <c r="P48" i="51"/>
  <c r="X47" i="51"/>
  <c r="W47" i="51"/>
  <c r="V47" i="51" s="1"/>
  <c r="S47" i="51"/>
  <c r="R47" i="51" s="1"/>
  <c r="P47" i="51"/>
  <c r="X46" i="51"/>
  <c r="W46" i="51"/>
  <c r="V46" i="51" s="1"/>
  <c r="S46" i="51"/>
  <c r="R46" i="51" s="1"/>
  <c r="P46" i="51"/>
  <c r="X45" i="51"/>
  <c r="W45" i="51"/>
  <c r="V45" i="51" s="1"/>
  <c r="S45" i="51"/>
  <c r="R45" i="51" s="1"/>
  <c r="P45" i="51"/>
  <c r="X44" i="51"/>
  <c r="W44" i="51"/>
  <c r="V44" i="51" s="1"/>
  <c r="S44" i="51"/>
  <c r="R44" i="51" s="1"/>
  <c r="P44" i="51"/>
  <c r="X43" i="51"/>
  <c r="W43" i="51"/>
  <c r="V43" i="51" s="1"/>
  <c r="S43" i="51"/>
  <c r="R43" i="51" s="1"/>
  <c r="P43" i="51"/>
  <c r="X42" i="51"/>
  <c r="W42" i="51"/>
  <c r="V42" i="51" s="1"/>
  <c r="S42" i="51"/>
  <c r="R42" i="51" s="1"/>
  <c r="P42" i="51"/>
  <c r="Y41" i="51"/>
  <c r="Y28" i="51" s="1"/>
  <c r="Q41" i="51"/>
  <c r="N41" i="51"/>
  <c r="M41" i="51"/>
  <c r="L41" i="51"/>
  <c r="I41" i="51"/>
  <c r="U41" i="51" s="1"/>
  <c r="H41" i="51"/>
  <c r="G41" i="51"/>
  <c r="G28" i="51" s="1"/>
  <c r="X40" i="51"/>
  <c r="L40" i="51"/>
  <c r="X38" i="51"/>
  <c r="L38" i="51"/>
  <c r="H38" i="51"/>
  <c r="X36" i="51"/>
  <c r="P36" i="51"/>
  <c r="M36" i="51"/>
  <c r="L36" i="51" s="1"/>
  <c r="X35" i="51"/>
  <c r="V35" i="51"/>
  <c r="R35" i="51"/>
  <c r="P35" i="51"/>
  <c r="L35" i="51"/>
  <c r="H35" i="51"/>
  <c r="X34" i="51"/>
  <c r="L34" i="51"/>
  <c r="X33" i="51"/>
  <c r="W33" i="51"/>
  <c r="V33" i="51" s="1"/>
  <c r="R33" i="51"/>
  <c r="P33" i="51"/>
  <c r="L33" i="51"/>
  <c r="H33" i="51"/>
  <c r="S32" i="51"/>
  <c r="Q32" i="51"/>
  <c r="O32" i="51"/>
  <c r="O28" i="51" s="1"/>
  <c r="N32" i="51"/>
  <c r="M32" i="51"/>
  <c r="I32" i="51"/>
  <c r="AE28" i="51"/>
  <c r="AD28" i="51" s="1"/>
  <c r="Y27" i="51"/>
  <c r="X27" i="51" s="1"/>
  <c r="X26" i="51" s="1"/>
  <c r="L27" i="51"/>
  <c r="L26" i="51" s="1"/>
  <c r="H27" i="51"/>
  <c r="O26" i="51"/>
  <c r="N26" i="51"/>
  <c r="M26" i="51"/>
  <c r="Y25" i="51"/>
  <c r="Y23" i="51" s="1"/>
  <c r="Y21" i="51" s="1"/>
  <c r="L25" i="51"/>
  <c r="H25" i="51"/>
  <c r="L24" i="51"/>
  <c r="H24" i="51"/>
  <c r="W23" i="51"/>
  <c r="W21" i="51" s="1"/>
  <c r="V23" i="51"/>
  <c r="V21" i="51" s="1"/>
  <c r="S23" i="51"/>
  <c r="S21" i="51" s="1"/>
  <c r="R23" i="51"/>
  <c r="R21" i="51" s="1"/>
  <c r="Q23" i="51"/>
  <c r="Q21" i="51" s="1"/>
  <c r="P23" i="51"/>
  <c r="P21" i="51" s="1"/>
  <c r="O23" i="51"/>
  <c r="O21" i="51" s="1"/>
  <c r="N23" i="51"/>
  <c r="N21" i="51" s="1"/>
  <c r="M23" i="51"/>
  <c r="M21" i="51" s="1"/>
  <c r="I23" i="51"/>
  <c r="I21" i="51" s="1"/>
  <c r="X20" i="51"/>
  <c r="X19" i="51" s="1"/>
  <c r="L20" i="51"/>
  <c r="H20" i="51"/>
  <c r="Y19" i="51"/>
  <c r="X18" i="51"/>
  <c r="L18" i="51"/>
  <c r="H18" i="51"/>
  <c r="X17" i="51"/>
  <c r="L17" i="51"/>
  <c r="H17" i="51"/>
  <c r="Y16" i="51"/>
  <c r="W16" i="51"/>
  <c r="V16" i="51"/>
  <c r="S16" i="51"/>
  <c r="R16" i="51"/>
  <c r="Q16" i="51"/>
  <c r="P16" i="51"/>
  <c r="O16" i="51"/>
  <c r="N16" i="51"/>
  <c r="M16" i="51"/>
  <c r="I16" i="51"/>
  <c r="Y13" i="51"/>
  <c r="W15" i="51"/>
  <c r="W13" i="51" s="1"/>
  <c r="R15" i="51"/>
  <c r="R13" i="51" s="1"/>
  <c r="P15" i="51"/>
  <c r="P13" i="51" s="1"/>
  <c r="M15" i="51"/>
  <c r="L15" i="51" s="1"/>
  <c r="X14" i="51"/>
  <c r="L14" i="51"/>
  <c r="S13" i="51"/>
  <c r="Q13" i="51"/>
  <c r="O13" i="51"/>
  <c r="N13" i="51"/>
  <c r="I13" i="51"/>
  <c r="H13" i="51"/>
  <c r="X37" i="51" l="1"/>
  <c r="K28" i="51"/>
  <c r="T33" i="51"/>
  <c r="T32" i="51" s="1"/>
  <c r="V15" i="51"/>
  <c r="V13" i="51" s="1"/>
  <c r="U28" i="51"/>
  <c r="L54" i="51"/>
  <c r="L53" i="51" s="1"/>
  <c r="R12" i="51"/>
  <c r="T12" i="51"/>
  <c r="T11" i="51" s="1"/>
  <c r="L23" i="51"/>
  <c r="L21" i="51" s="1"/>
  <c r="H53" i="51"/>
  <c r="T41" i="51"/>
  <c r="T28" i="51" s="1"/>
  <c r="K12" i="51"/>
  <c r="K11" i="51" s="1"/>
  <c r="J12" i="51"/>
  <c r="J11" i="51" s="1"/>
  <c r="U13" i="51"/>
  <c r="U12" i="51" s="1"/>
  <c r="U11" i="51" s="1"/>
  <c r="J28" i="51"/>
  <c r="S12" i="51"/>
  <c r="S11" i="51" s="1"/>
  <c r="V32" i="51"/>
  <c r="Q28" i="51"/>
  <c r="H23" i="51"/>
  <c r="H21" i="51" s="1"/>
  <c r="X15" i="51"/>
  <c r="X13" i="51" s="1"/>
  <c r="I28" i="51"/>
  <c r="N12" i="51"/>
  <c r="N11" i="51" s="1"/>
  <c r="L32" i="51"/>
  <c r="L28" i="51" s="1"/>
  <c r="V12" i="51"/>
  <c r="V11" i="51" s="1"/>
  <c r="W12" i="51"/>
  <c r="W11" i="51" s="1"/>
  <c r="O12" i="51"/>
  <c r="O11" i="51" s="1"/>
  <c r="O10" i="51" s="1"/>
  <c r="H16" i="51"/>
  <c r="H12" i="51" s="1"/>
  <c r="H11" i="51" s="1"/>
  <c r="R32" i="51"/>
  <c r="X54" i="51"/>
  <c r="X53" i="51" s="1"/>
  <c r="L16" i="51"/>
  <c r="M13" i="51"/>
  <c r="M12" i="51" s="1"/>
  <c r="M11" i="51" s="1"/>
  <c r="Q12" i="51"/>
  <c r="Q11" i="51" s="1"/>
  <c r="X16" i="51"/>
  <c r="H32" i="51"/>
  <c r="H28" i="51" s="1"/>
  <c r="W41" i="51"/>
  <c r="V41" i="51" s="1"/>
  <c r="Y12" i="51"/>
  <c r="Y11" i="51" s="1"/>
  <c r="W32" i="51"/>
  <c r="L13" i="51"/>
  <c r="X32" i="51"/>
  <c r="I12" i="51"/>
  <c r="I11" i="51" s="1"/>
  <c r="M28" i="51"/>
  <c r="X41" i="51"/>
  <c r="R11" i="51"/>
  <c r="P12" i="51"/>
  <c r="P11" i="51" s="1"/>
  <c r="N28" i="51"/>
  <c r="R41" i="51"/>
  <c r="P32" i="51"/>
  <c r="S41" i="51"/>
  <c r="S28" i="51" s="1"/>
  <c r="P41" i="51"/>
  <c r="X25" i="51"/>
  <c r="X23" i="51" s="1"/>
  <c r="X21" i="51" s="1"/>
  <c r="Y54" i="51"/>
  <c r="Y53" i="51" s="1"/>
  <c r="K10" i="51" l="1"/>
  <c r="W28" i="51"/>
  <c r="W10" i="51" s="1"/>
  <c r="X28" i="51"/>
  <c r="V28" i="51"/>
  <c r="V10" i="51" s="1"/>
  <c r="U10" i="51"/>
  <c r="T10" i="51"/>
  <c r="J10" i="51"/>
  <c r="X12" i="51"/>
  <c r="X11" i="51" s="1"/>
  <c r="I10" i="51"/>
  <c r="Q10" i="51"/>
  <c r="Y10" i="51"/>
  <c r="R28" i="51"/>
  <c r="R10" i="51" s="1"/>
  <c r="N10" i="51"/>
  <c r="S10" i="51"/>
  <c r="L12" i="51"/>
  <c r="L11" i="51" s="1"/>
  <c r="L10" i="51" s="1"/>
  <c r="P28" i="51"/>
  <c r="P10" i="51" s="1"/>
  <c r="H10" i="51"/>
  <c r="M10" i="51"/>
  <c r="X10" i="51" l="1"/>
  <c r="I88" i="46" l="1"/>
  <c r="G88" i="46"/>
  <c r="I87" i="46"/>
  <c r="G87" i="46"/>
  <c r="J86" i="46"/>
  <c r="I86" i="46"/>
  <c r="H86" i="46"/>
  <c r="G86" i="46"/>
  <c r="D85" i="46"/>
  <c r="J85" i="46" s="1"/>
  <c r="C85" i="46"/>
  <c r="H85" i="46" s="1"/>
  <c r="J84" i="46"/>
  <c r="I84" i="46"/>
  <c r="H84" i="46"/>
  <c r="G84" i="46"/>
  <c r="J83" i="46"/>
  <c r="I83" i="46"/>
  <c r="H83" i="46"/>
  <c r="G83" i="46"/>
  <c r="J82" i="46"/>
  <c r="I82" i="46"/>
  <c r="H82" i="46"/>
  <c r="G82" i="46"/>
  <c r="J81" i="46"/>
  <c r="I81" i="46"/>
  <c r="H81" i="46"/>
  <c r="G81" i="46"/>
  <c r="J80" i="46"/>
  <c r="I80" i="46"/>
  <c r="H80" i="46"/>
  <c r="G80" i="46"/>
  <c r="J79" i="46"/>
  <c r="I79" i="46"/>
  <c r="H79" i="46"/>
  <c r="G79" i="46"/>
  <c r="I78" i="46"/>
  <c r="G78" i="46"/>
  <c r="J77" i="46"/>
  <c r="I77" i="46"/>
  <c r="H77" i="46"/>
  <c r="G77" i="46"/>
  <c r="J76" i="46"/>
  <c r="I76" i="46"/>
  <c r="H76" i="46"/>
  <c r="G76" i="46"/>
  <c r="I75" i="46"/>
  <c r="G75" i="46"/>
  <c r="J74" i="46"/>
  <c r="I74" i="46"/>
  <c r="H74" i="46"/>
  <c r="G74" i="46"/>
  <c r="J73" i="46"/>
  <c r="I73" i="46"/>
  <c r="H73" i="46"/>
  <c r="G73" i="46"/>
  <c r="F72" i="46"/>
  <c r="J72" i="46" s="1"/>
  <c r="E72" i="46"/>
  <c r="H72" i="46" s="1"/>
  <c r="D72" i="46"/>
  <c r="C72" i="46"/>
  <c r="J71" i="46"/>
  <c r="I71" i="46"/>
  <c r="H71" i="46"/>
  <c r="G71" i="46"/>
  <c r="J70" i="46"/>
  <c r="I70" i="46"/>
  <c r="H70" i="46"/>
  <c r="G70" i="46"/>
  <c r="J69" i="46"/>
  <c r="I69" i="46"/>
  <c r="H69" i="46"/>
  <c r="G69" i="46"/>
  <c r="F68" i="46"/>
  <c r="J68" i="46" s="1"/>
  <c r="E68" i="46"/>
  <c r="H68" i="46" s="1"/>
  <c r="D68" i="46"/>
  <c r="C68" i="46"/>
  <c r="J67" i="46"/>
  <c r="I67" i="46"/>
  <c r="H67" i="46"/>
  <c r="G67" i="46"/>
  <c r="J66" i="46"/>
  <c r="I66" i="46"/>
  <c r="H66" i="46"/>
  <c r="G66" i="46"/>
  <c r="F65" i="46"/>
  <c r="J65" i="46" s="1"/>
  <c r="E65" i="46"/>
  <c r="H65" i="46" s="1"/>
  <c r="D65" i="46"/>
  <c r="C65" i="46"/>
  <c r="J64" i="46"/>
  <c r="I64" i="46"/>
  <c r="H64" i="46"/>
  <c r="G64" i="46"/>
  <c r="J63" i="46"/>
  <c r="I63" i="46"/>
  <c r="H63" i="46"/>
  <c r="G63" i="46"/>
  <c r="J62" i="46"/>
  <c r="I62" i="46"/>
  <c r="H62" i="46"/>
  <c r="G62" i="46"/>
  <c r="J61" i="46"/>
  <c r="I61" i="46"/>
  <c r="H61" i="46"/>
  <c r="G61" i="46"/>
  <c r="I60" i="46"/>
  <c r="G60" i="46"/>
  <c r="D59" i="46"/>
  <c r="J59" i="46" s="1"/>
  <c r="C59" i="46"/>
  <c r="H59" i="46" s="1"/>
  <c r="F58" i="46"/>
  <c r="J58" i="46" s="1"/>
  <c r="E58" i="46"/>
  <c r="H58" i="46" s="1"/>
  <c r="D58" i="46"/>
  <c r="C58" i="46"/>
  <c r="F57" i="46"/>
  <c r="J57" i="46" s="1"/>
  <c r="E57" i="46"/>
  <c r="H57" i="46" s="1"/>
  <c r="D57" i="46"/>
  <c r="C57" i="46"/>
  <c r="E56" i="46"/>
  <c r="H56" i="46" s="1"/>
  <c r="D56" i="46"/>
  <c r="C56" i="46"/>
  <c r="I55" i="46"/>
  <c r="G55" i="46"/>
  <c r="J54" i="46"/>
  <c r="I54" i="46"/>
  <c r="H54" i="46"/>
  <c r="G54" i="46"/>
  <c r="J53" i="46"/>
  <c r="I53" i="46"/>
  <c r="H53" i="46"/>
  <c r="G53" i="46"/>
  <c r="J52" i="46"/>
  <c r="I52" i="46"/>
  <c r="H52" i="46"/>
  <c r="G52" i="46"/>
  <c r="J51" i="46"/>
  <c r="I51" i="46"/>
  <c r="H51" i="46"/>
  <c r="G51" i="46"/>
  <c r="J50" i="46"/>
  <c r="I50" i="46"/>
  <c r="H50" i="46"/>
  <c r="G50" i="46"/>
  <c r="J49" i="46"/>
  <c r="I49" i="46"/>
  <c r="H49" i="46"/>
  <c r="G49" i="46"/>
  <c r="J48" i="46"/>
  <c r="I48" i="46"/>
  <c r="H48" i="46"/>
  <c r="G48" i="46"/>
  <c r="J47" i="46"/>
  <c r="I47" i="46"/>
  <c r="H47" i="46"/>
  <c r="G47" i="46"/>
  <c r="J46" i="46"/>
  <c r="I46" i="46"/>
  <c r="H46" i="46"/>
  <c r="G46" i="46"/>
  <c r="J45" i="46"/>
  <c r="I45" i="46"/>
  <c r="H45" i="46"/>
  <c r="G45" i="46"/>
  <c r="J44" i="46"/>
  <c r="I44" i="46"/>
  <c r="E44" i="46"/>
  <c r="H44" i="46" s="1"/>
  <c r="J43" i="46"/>
  <c r="I43" i="46"/>
  <c r="H43" i="46"/>
  <c r="G43" i="46"/>
  <c r="J42" i="46"/>
  <c r="I42" i="46"/>
  <c r="H42" i="46"/>
  <c r="G42" i="46"/>
  <c r="I41" i="46"/>
  <c r="G41" i="46"/>
  <c r="I40" i="46"/>
  <c r="G40" i="46"/>
  <c r="F39" i="46"/>
  <c r="D39" i="46"/>
  <c r="C39" i="46"/>
  <c r="J38" i="46"/>
  <c r="I38" i="46"/>
  <c r="H38" i="46"/>
  <c r="G38" i="46"/>
  <c r="F37" i="46"/>
  <c r="F36" i="46" s="1"/>
  <c r="E37" i="46"/>
  <c r="G37" i="46" s="1"/>
  <c r="D37" i="46"/>
  <c r="D36" i="46" s="1"/>
  <c r="C37" i="46"/>
  <c r="I35" i="46"/>
  <c r="G35" i="46"/>
  <c r="I34" i="46"/>
  <c r="G34" i="46"/>
  <c r="F33" i="46"/>
  <c r="E33" i="46"/>
  <c r="D33" i="46"/>
  <c r="C33" i="46"/>
  <c r="J31" i="46"/>
  <c r="I31" i="46"/>
  <c r="G31" i="46"/>
  <c r="J30" i="46"/>
  <c r="I30" i="46"/>
  <c r="H30" i="46"/>
  <c r="G30" i="46"/>
  <c r="J29" i="46"/>
  <c r="I29" i="46"/>
  <c r="H29" i="46"/>
  <c r="J28" i="46"/>
  <c r="I28" i="46"/>
  <c r="C28" i="46"/>
  <c r="H28" i="46" s="1"/>
  <c r="J27" i="46"/>
  <c r="I27" i="46"/>
  <c r="H27" i="46"/>
  <c r="G27" i="46"/>
  <c r="J26" i="46"/>
  <c r="I26" i="46"/>
  <c r="H26" i="46"/>
  <c r="G26" i="46"/>
  <c r="I25" i="46"/>
  <c r="G25" i="46"/>
  <c r="F24" i="46"/>
  <c r="E24" i="46"/>
  <c r="D24" i="46"/>
  <c r="I23" i="46"/>
  <c r="G23" i="46"/>
  <c r="I22" i="46"/>
  <c r="G22" i="46"/>
  <c r="J21" i="46"/>
  <c r="I21" i="46"/>
  <c r="H21" i="46"/>
  <c r="G21" i="46"/>
  <c r="J20" i="46"/>
  <c r="I20" i="46"/>
  <c r="H20" i="46"/>
  <c r="G20" i="46"/>
  <c r="F19" i="46"/>
  <c r="F12" i="46" s="1"/>
  <c r="E19" i="46"/>
  <c r="E12" i="46" s="1"/>
  <c r="D19" i="46"/>
  <c r="C19" i="46"/>
  <c r="I18" i="46"/>
  <c r="G18" i="46"/>
  <c r="J16" i="46"/>
  <c r="I16" i="46"/>
  <c r="I15" i="46"/>
  <c r="G15" i="46"/>
  <c r="D14" i="46"/>
  <c r="J14" i="46" s="1"/>
  <c r="F13" i="46"/>
  <c r="E13" i="46"/>
  <c r="G13" i="46" s="1"/>
  <c r="D12" i="46"/>
  <c r="D11" i="46" s="1"/>
  <c r="D10" i="46" s="1"/>
  <c r="C12" i="46"/>
  <c r="C11" i="46"/>
  <c r="L85" i="47"/>
  <c r="J85" i="47"/>
  <c r="L84" i="47"/>
  <c r="J84" i="47"/>
  <c r="L83" i="47"/>
  <c r="J83" i="47"/>
  <c r="L82" i="47"/>
  <c r="J82" i="47"/>
  <c r="L81" i="47"/>
  <c r="J81" i="47"/>
  <c r="L80" i="47"/>
  <c r="J80" i="47"/>
  <c r="L79" i="47"/>
  <c r="J79" i="47"/>
  <c r="L78" i="47"/>
  <c r="J78" i="47"/>
  <c r="L77" i="47"/>
  <c r="J77" i="47"/>
  <c r="L76" i="47"/>
  <c r="J76" i="47"/>
  <c r="K75" i="47"/>
  <c r="I75" i="47"/>
  <c r="H75" i="47"/>
  <c r="H73" i="47" s="1"/>
  <c r="F75" i="47"/>
  <c r="F73" i="47" s="1"/>
  <c r="D75" i="47"/>
  <c r="D73" i="47" s="1"/>
  <c r="L74" i="47"/>
  <c r="K74" i="47"/>
  <c r="J74" i="47"/>
  <c r="I74" i="47"/>
  <c r="G73" i="47"/>
  <c r="E73" i="47"/>
  <c r="I73" i="47" s="1"/>
  <c r="C73" i="47"/>
  <c r="L72" i="47"/>
  <c r="K72" i="47"/>
  <c r="J72" i="47"/>
  <c r="I72" i="47"/>
  <c r="L71" i="47"/>
  <c r="K71" i="47"/>
  <c r="J71" i="47"/>
  <c r="I71" i="47"/>
  <c r="K70" i="47"/>
  <c r="J70" i="47"/>
  <c r="I70" i="47"/>
  <c r="H70" i="47"/>
  <c r="L70" i="47" s="1"/>
  <c r="F70" i="47"/>
  <c r="K69" i="47"/>
  <c r="I69" i="47"/>
  <c r="H68" i="47"/>
  <c r="G68" i="47"/>
  <c r="F68" i="47"/>
  <c r="F64" i="47" s="1"/>
  <c r="E68" i="47"/>
  <c r="D68" i="47"/>
  <c r="C68" i="47"/>
  <c r="L67" i="47"/>
  <c r="J67" i="47"/>
  <c r="I67" i="47"/>
  <c r="K66" i="47"/>
  <c r="I66" i="47"/>
  <c r="H65" i="47"/>
  <c r="H64" i="47" s="1"/>
  <c r="G65" i="47"/>
  <c r="F65" i="47"/>
  <c r="E65" i="47"/>
  <c r="D65" i="47"/>
  <c r="D64" i="47" s="1"/>
  <c r="D63" i="47" s="1"/>
  <c r="C65" i="47"/>
  <c r="G64" i="47"/>
  <c r="G63" i="47" s="1"/>
  <c r="L62" i="47"/>
  <c r="K62" i="47"/>
  <c r="J62" i="47"/>
  <c r="I62" i="47"/>
  <c r="L61" i="47"/>
  <c r="K61" i="47"/>
  <c r="J61" i="47"/>
  <c r="I61" i="47"/>
  <c r="L60" i="47"/>
  <c r="K60" i="47"/>
  <c r="J60" i="47"/>
  <c r="I60" i="47"/>
  <c r="H59" i="47"/>
  <c r="G59" i="47"/>
  <c r="F59" i="47"/>
  <c r="E59" i="47"/>
  <c r="D59" i="47"/>
  <c r="C59" i="47"/>
  <c r="L58" i="47"/>
  <c r="K58" i="47"/>
  <c r="J58" i="47"/>
  <c r="I58" i="47"/>
  <c r="L57" i="47"/>
  <c r="K57" i="47"/>
  <c r="J57" i="47"/>
  <c r="I57" i="47"/>
  <c r="H56" i="47"/>
  <c r="G56" i="47"/>
  <c r="F56" i="47"/>
  <c r="E56" i="47"/>
  <c r="D56" i="47"/>
  <c r="C56" i="47"/>
  <c r="K55" i="47"/>
  <c r="I55" i="47"/>
  <c r="D55" i="47"/>
  <c r="J55" i="47" s="1"/>
  <c r="L54" i="47"/>
  <c r="K54" i="47"/>
  <c r="J54" i="47"/>
  <c r="I54" i="47"/>
  <c r="H52" i="47"/>
  <c r="G52" i="47"/>
  <c r="M54" i="47" s="1"/>
  <c r="F52" i="47"/>
  <c r="E52" i="47"/>
  <c r="D52" i="47"/>
  <c r="C52" i="47"/>
  <c r="L51" i="47"/>
  <c r="K51" i="47"/>
  <c r="J51" i="47"/>
  <c r="I51" i="47"/>
  <c r="K50" i="47"/>
  <c r="I50" i="47"/>
  <c r="H50" i="47"/>
  <c r="F50" i="47"/>
  <c r="D50" i="47"/>
  <c r="G49" i="47"/>
  <c r="E49" i="47"/>
  <c r="E47" i="47" s="1"/>
  <c r="C49" i="47"/>
  <c r="C47" i="47" s="1"/>
  <c r="C45" i="47" s="1"/>
  <c r="K48" i="47"/>
  <c r="I48" i="47"/>
  <c r="D48" i="47"/>
  <c r="G47" i="47"/>
  <c r="G45" i="47" s="1"/>
  <c r="K45" i="47" s="1"/>
  <c r="L46" i="47"/>
  <c r="K46" i="47"/>
  <c r="J46" i="47"/>
  <c r="I46" i="47"/>
  <c r="L44" i="47"/>
  <c r="K44" i="47"/>
  <c r="J44" i="47"/>
  <c r="I44" i="47"/>
  <c r="L43" i="47"/>
  <c r="K43" i="47"/>
  <c r="J43" i="47"/>
  <c r="I43" i="47"/>
  <c r="H42" i="47"/>
  <c r="G42" i="47"/>
  <c r="F42" i="47"/>
  <c r="E42" i="47"/>
  <c r="D42" i="47"/>
  <c r="C42" i="47"/>
  <c r="K41" i="47"/>
  <c r="I41" i="47"/>
  <c r="D41" i="47"/>
  <c r="J41" i="47" s="1"/>
  <c r="K40" i="47"/>
  <c r="I40" i="47"/>
  <c r="D40" i="47"/>
  <c r="L40" i="47" s="1"/>
  <c r="K38" i="47"/>
  <c r="I38" i="47"/>
  <c r="H38" i="47"/>
  <c r="L38" i="47" s="1"/>
  <c r="F38" i="47"/>
  <c r="D38" i="47"/>
  <c r="L37" i="47"/>
  <c r="K37" i="47"/>
  <c r="J37" i="47"/>
  <c r="I37" i="47"/>
  <c r="L36" i="47"/>
  <c r="K36" i="47"/>
  <c r="J36" i="47"/>
  <c r="I36" i="47"/>
  <c r="L35" i="47"/>
  <c r="K35" i="47"/>
  <c r="J35" i="47"/>
  <c r="I35" i="47"/>
  <c r="K34" i="47"/>
  <c r="J34" i="47"/>
  <c r="I34" i="47"/>
  <c r="H34" i="47"/>
  <c r="L34" i="47" s="1"/>
  <c r="F34" i="47"/>
  <c r="F32" i="47" s="1"/>
  <c r="L33" i="47"/>
  <c r="K33" i="47"/>
  <c r="J33" i="47"/>
  <c r="I33" i="47"/>
  <c r="G32" i="47"/>
  <c r="G27" i="47" s="1"/>
  <c r="E32" i="47"/>
  <c r="D32" i="47"/>
  <c r="C32" i="47"/>
  <c r="K31" i="47"/>
  <c r="I31" i="47"/>
  <c r="H31" i="47"/>
  <c r="L31" i="47" s="1"/>
  <c r="F31" i="47"/>
  <c r="J31" i="47" s="1"/>
  <c r="K30" i="47"/>
  <c r="I30" i="47"/>
  <c r="D30" i="47"/>
  <c r="L30" i="47" s="1"/>
  <c r="K29" i="47"/>
  <c r="I29" i="47"/>
  <c r="D29" i="47"/>
  <c r="J29" i="47" s="1"/>
  <c r="C28" i="47"/>
  <c r="K28" i="47" s="1"/>
  <c r="E27" i="47"/>
  <c r="I26" i="47"/>
  <c r="D26" i="47"/>
  <c r="J26" i="47" s="1"/>
  <c r="H25" i="47"/>
  <c r="L25" i="47" s="1"/>
  <c r="G25" i="47"/>
  <c r="F25" i="47"/>
  <c r="E25" i="47"/>
  <c r="D25" i="47"/>
  <c r="C25" i="47"/>
  <c r="L24" i="47"/>
  <c r="K24" i="47"/>
  <c r="J24" i="47"/>
  <c r="I24" i="47"/>
  <c r="H23" i="47"/>
  <c r="G23" i="47"/>
  <c r="F23" i="47"/>
  <c r="J23" i="47" s="1"/>
  <c r="E23" i="47"/>
  <c r="D23" i="47"/>
  <c r="C23" i="47"/>
  <c r="C19" i="47" s="1"/>
  <c r="K21" i="47"/>
  <c r="I21" i="47"/>
  <c r="D21" i="47"/>
  <c r="J21" i="47" s="1"/>
  <c r="K20" i="47"/>
  <c r="I20" i="47"/>
  <c r="D20" i="47"/>
  <c r="H19" i="47"/>
  <c r="G19" i="47"/>
  <c r="F19" i="47"/>
  <c r="E19" i="47"/>
  <c r="K18" i="47"/>
  <c r="I18" i="47"/>
  <c r="D18" i="47"/>
  <c r="J18" i="47" s="1"/>
  <c r="K17" i="47"/>
  <c r="I17" i="47"/>
  <c r="H16" i="47"/>
  <c r="H12" i="47" s="1"/>
  <c r="G16" i="47"/>
  <c r="G12" i="47" s="1"/>
  <c r="F16" i="47"/>
  <c r="F12" i="47" s="1"/>
  <c r="E16" i="47"/>
  <c r="E12" i="47" s="1"/>
  <c r="C16" i="47"/>
  <c r="C12" i="47" s="1"/>
  <c r="L14" i="47"/>
  <c r="J14" i="47"/>
  <c r="I14" i="47"/>
  <c r="K13" i="47"/>
  <c r="I13" i="47"/>
  <c r="D13" i="47"/>
  <c r="J13" i="47" s="1"/>
  <c r="H31" i="48"/>
  <c r="H30" i="48"/>
  <c r="D29" i="48"/>
  <c r="I29" i="48" s="1"/>
  <c r="C29" i="48"/>
  <c r="G28" i="48"/>
  <c r="G27" i="48" s="1"/>
  <c r="D28" i="48"/>
  <c r="C28" i="48"/>
  <c r="C27" i="48" s="1"/>
  <c r="F27" i="48"/>
  <c r="E27" i="48"/>
  <c r="I26" i="48"/>
  <c r="H26" i="48"/>
  <c r="I25" i="48"/>
  <c r="H25" i="48"/>
  <c r="I24" i="48"/>
  <c r="H24" i="48"/>
  <c r="I23" i="48"/>
  <c r="H23" i="48"/>
  <c r="G22" i="48"/>
  <c r="I22" i="48" s="1"/>
  <c r="D21" i="48"/>
  <c r="C21" i="48"/>
  <c r="F20" i="48"/>
  <c r="F19" i="48" s="1"/>
  <c r="E20" i="48"/>
  <c r="D20" i="48"/>
  <c r="C20" i="48"/>
  <c r="H18" i="48"/>
  <c r="E17" i="48"/>
  <c r="I16" i="48"/>
  <c r="H16" i="48"/>
  <c r="G15" i="48"/>
  <c r="E15" i="48"/>
  <c r="H15" i="48" s="1"/>
  <c r="I14" i="48"/>
  <c r="H14" i="48"/>
  <c r="F13" i="48"/>
  <c r="E13" i="48"/>
  <c r="D13" i="48"/>
  <c r="C13" i="48"/>
  <c r="H12" i="48"/>
  <c r="I11" i="48"/>
  <c r="H11" i="48"/>
  <c r="C11" i="48"/>
  <c r="C9" i="48" s="1"/>
  <c r="C8" i="48" s="1"/>
  <c r="I10" i="48"/>
  <c r="H10" i="48"/>
  <c r="G9" i="48"/>
  <c r="F9" i="48"/>
  <c r="E9" i="48"/>
  <c r="D9" i="48"/>
  <c r="H12" i="46" l="1"/>
  <c r="E11" i="46"/>
  <c r="H11" i="46" s="1"/>
  <c r="F56" i="46"/>
  <c r="J56" i="46" s="1"/>
  <c r="E19" i="48"/>
  <c r="D28" i="47"/>
  <c r="J28" i="47" s="1"/>
  <c r="C27" i="47"/>
  <c r="J32" i="47"/>
  <c r="C64" i="47"/>
  <c r="C63" i="47" s="1"/>
  <c r="D13" i="46"/>
  <c r="I14" i="46"/>
  <c r="C36" i="46"/>
  <c r="C32" i="46" s="1"/>
  <c r="F8" i="48"/>
  <c r="I28" i="47"/>
  <c r="G12" i="46"/>
  <c r="D32" i="46"/>
  <c r="D9" i="46" s="1"/>
  <c r="L64" i="47"/>
  <c r="H63" i="47"/>
  <c r="C19" i="48"/>
  <c r="D27" i="48"/>
  <c r="D19" i="48" s="1"/>
  <c r="F27" i="47"/>
  <c r="J50" i="47"/>
  <c r="E64" i="47"/>
  <c r="E63" i="47" s="1"/>
  <c r="I63" i="47" s="1"/>
  <c r="J36" i="46"/>
  <c r="G44" i="46"/>
  <c r="D8" i="48"/>
  <c r="F49" i="47"/>
  <c r="F47" i="47" s="1"/>
  <c r="L50" i="47"/>
  <c r="K56" i="47"/>
  <c r="I59" i="47"/>
  <c r="J65" i="47"/>
  <c r="J13" i="46"/>
  <c r="H19" i="46"/>
  <c r="J24" i="46"/>
  <c r="J37" i="46"/>
  <c r="E39" i="46"/>
  <c r="D19" i="47"/>
  <c r="L19" i="47" s="1"/>
  <c r="I23" i="47"/>
  <c r="L26" i="47"/>
  <c r="J38" i="47"/>
  <c r="I52" i="47"/>
  <c r="L56" i="47"/>
  <c r="J59" i="47"/>
  <c r="E10" i="46"/>
  <c r="I24" i="46"/>
  <c r="I33" i="46"/>
  <c r="H37" i="46"/>
  <c r="J39" i="46"/>
  <c r="K12" i="47"/>
  <c r="K16" i="47"/>
  <c r="K49" i="47"/>
  <c r="L52" i="47"/>
  <c r="K63" i="47"/>
  <c r="K32" i="47"/>
  <c r="D49" i="47"/>
  <c r="K68" i="47"/>
  <c r="J73" i="47"/>
  <c r="J75" i="47"/>
  <c r="I16" i="47"/>
  <c r="K19" i="47"/>
  <c r="K23" i="47"/>
  <c r="I25" i="47"/>
  <c r="J30" i="47"/>
  <c r="I49" i="47"/>
  <c r="J52" i="47"/>
  <c r="I56" i="47"/>
  <c r="K59" i="47"/>
  <c r="K65" i="47"/>
  <c r="L68" i="47"/>
  <c r="K73" i="47"/>
  <c r="L75" i="47"/>
  <c r="K47" i="47"/>
  <c r="D16" i="47"/>
  <c r="D12" i="47" s="1"/>
  <c r="J12" i="47" s="1"/>
  <c r="K27" i="47"/>
  <c r="D47" i="47"/>
  <c r="D45" i="47" s="1"/>
  <c r="H49" i="47"/>
  <c r="H47" i="47" s="1"/>
  <c r="L63" i="47"/>
  <c r="I12" i="47"/>
  <c r="C11" i="47"/>
  <c r="C10" i="47" s="1"/>
  <c r="L23" i="47"/>
  <c r="J25" i="47"/>
  <c r="I27" i="47"/>
  <c r="I32" i="47"/>
  <c r="I47" i="47"/>
  <c r="K52" i="47"/>
  <c r="J56" i="47"/>
  <c r="L59" i="47"/>
  <c r="L65" i="47"/>
  <c r="I68" i="47"/>
  <c r="L73" i="47"/>
  <c r="I13" i="46"/>
  <c r="G11" i="47"/>
  <c r="H27" i="48"/>
  <c r="H28" i="48"/>
  <c r="I9" i="48"/>
  <c r="G20" i="48"/>
  <c r="G19" i="48" s="1"/>
  <c r="I15" i="48"/>
  <c r="E8" i="48"/>
  <c r="H22" i="48"/>
  <c r="I28" i="48"/>
  <c r="H29" i="48"/>
  <c r="G33" i="46"/>
  <c r="J12" i="46"/>
  <c r="F11" i="46"/>
  <c r="I12" i="46"/>
  <c r="H13" i="46"/>
  <c r="I19" i="46"/>
  <c r="H39" i="46"/>
  <c r="I56" i="46"/>
  <c r="I57" i="46"/>
  <c r="I58" i="46"/>
  <c r="G59" i="46"/>
  <c r="I65" i="46"/>
  <c r="I68" i="46"/>
  <c r="I72" i="46"/>
  <c r="G85" i="46"/>
  <c r="J19" i="46"/>
  <c r="I36" i="46"/>
  <c r="I37" i="46"/>
  <c r="I39" i="46"/>
  <c r="G19" i="46"/>
  <c r="G28" i="46"/>
  <c r="G56" i="46"/>
  <c r="G57" i="46"/>
  <c r="G58" i="46"/>
  <c r="I59" i="46"/>
  <c r="G65" i="46"/>
  <c r="G68" i="46"/>
  <c r="G72" i="46"/>
  <c r="I85" i="46"/>
  <c r="C24" i="46"/>
  <c r="C10" i="46" s="1"/>
  <c r="J19" i="47"/>
  <c r="F45" i="47"/>
  <c r="J45" i="47" s="1"/>
  <c r="H45" i="47"/>
  <c r="I64" i="47"/>
  <c r="J64" i="47"/>
  <c r="F63" i="47"/>
  <c r="J63" i="47" s="1"/>
  <c r="L20" i="47"/>
  <c r="L28" i="47"/>
  <c r="J49" i="47"/>
  <c r="K64" i="47"/>
  <c r="J68" i="47"/>
  <c r="L13" i="47"/>
  <c r="L18" i="47"/>
  <c r="L21" i="47"/>
  <c r="L29" i="47"/>
  <c r="L41" i="47"/>
  <c r="L55" i="47"/>
  <c r="L48" i="47"/>
  <c r="I65" i="47"/>
  <c r="J20" i="47"/>
  <c r="D27" i="47"/>
  <c r="D11" i="47" s="1"/>
  <c r="D10" i="47" s="1"/>
  <c r="H32" i="47"/>
  <c r="L32" i="47" s="1"/>
  <c r="J40" i="47"/>
  <c r="E45" i="47"/>
  <c r="I45" i="47" s="1"/>
  <c r="J48" i="47"/>
  <c r="I19" i="47"/>
  <c r="I27" i="48"/>
  <c r="H9" i="48"/>
  <c r="G13" i="48"/>
  <c r="G8" i="48" s="1"/>
  <c r="I8" i="48" s="1"/>
  <c r="H17" i="48"/>
  <c r="H21" i="48"/>
  <c r="I17" i="48"/>
  <c r="I21" i="48"/>
  <c r="C14" i="23"/>
  <c r="C13" i="23" s="1"/>
  <c r="C12" i="23" s="1"/>
  <c r="C10" i="23" s="1"/>
  <c r="C18" i="23"/>
  <c r="C31" i="23"/>
  <c r="C38" i="23"/>
  <c r="C41" i="23"/>
  <c r="C47" i="23"/>
  <c r="C50" i="23"/>
  <c r="L45" i="47" l="1"/>
  <c r="K11" i="47"/>
  <c r="L47" i="47"/>
  <c r="G11" i="46"/>
  <c r="F32" i="46"/>
  <c r="G39" i="46"/>
  <c r="E36" i="46"/>
  <c r="L49" i="47"/>
  <c r="L12" i="47"/>
  <c r="J16" i="47"/>
  <c r="J47" i="47"/>
  <c r="L16" i="47"/>
  <c r="G10" i="47"/>
  <c r="H20" i="48"/>
  <c r="I20" i="48"/>
  <c r="J11" i="46"/>
  <c r="F10" i="46"/>
  <c r="I11" i="46"/>
  <c r="H24" i="46"/>
  <c r="G24" i="46"/>
  <c r="H10" i="46"/>
  <c r="G10" i="46"/>
  <c r="C9" i="46"/>
  <c r="J27" i="47"/>
  <c r="H27" i="47"/>
  <c r="F11" i="47"/>
  <c r="E11" i="47"/>
  <c r="I13" i="48"/>
  <c r="H13" i="48"/>
  <c r="H8" i="48" s="1"/>
  <c r="I19" i="48"/>
  <c r="H19" i="48"/>
  <c r="C40" i="23"/>
  <c r="C37" i="23" s="1"/>
  <c r="C36" i="23" s="1"/>
  <c r="C9" i="23" s="1"/>
  <c r="J32" i="46" l="1"/>
  <c r="I32" i="46"/>
  <c r="K10" i="47"/>
  <c r="G36" i="46"/>
  <c r="H36" i="46"/>
  <c r="E32" i="46"/>
  <c r="J10" i="46"/>
  <c r="F9" i="46"/>
  <c r="I10" i="46"/>
  <c r="I11" i="47"/>
  <c r="E10" i="47"/>
  <c r="I10" i="47" s="1"/>
  <c r="F10" i="47"/>
  <c r="J10" i="47" s="1"/>
  <c r="J11" i="47"/>
  <c r="L27" i="47"/>
  <c r="H11" i="47"/>
  <c r="G35" i="13"/>
  <c r="H35" i="13"/>
  <c r="J35" i="13"/>
  <c r="K35" i="13"/>
  <c r="M35" i="13"/>
  <c r="N35" i="13"/>
  <c r="O35" i="13"/>
  <c r="P35" i="13"/>
  <c r="Q35" i="13"/>
  <c r="S35" i="13"/>
  <c r="T35" i="13"/>
  <c r="U35" i="13"/>
  <c r="V35" i="13"/>
  <c r="R36" i="13"/>
  <c r="F36" i="13"/>
  <c r="K83" i="13"/>
  <c r="E12" i="24"/>
  <c r="K22" i="13"/>
  <c r="R43" i="13"/>
  <c r="F43" i="13"/>
  <c r="E43" i="13" s="1"/>
  <c r="I35" i="13"/>
  <c r="D43" i="13" l="1"/>
  <c r="E9" i="46"/>
  <c r="G32" i="46"/>
  <c r="H32" i="46"/>
  <c r="J9" i="46"/>
  <c r="I9" i="46"/>
  <c r="L11" i="47"/>
  <c r="H10" i="47"/>
  <c r="E36" i="13"/>
  <c r="D36" i="13" s="1"/>
  <c r="H9" i="46" l="1"/>
  <c r="G9" i="46"/>
  <c r="L10" i="47"/>
  <c r="M10" i="47"/>
  <c r="S51" i="17"/>
  <c r="E11" i="12" l="1"/>
  <c r="C13" i="12"/>
  <c r="N13" i="17"/>
  <c r="Q13" i="17" s="1"/>
  <c r="Q52" i="17"/>
  <c r="E37" i="24"/>
  <c r="E22" i="24"/>
  <c r="E20" i="24"/>
  <c r="E13" i="24"/>
  <c r="E30" i="24"/>
  <c r="E26" i="24"/>
  <c r="E24" i="24"/>
  <c r="E19" i="24"/>
  <c r="E39" i="24"/>
  <c r="D22" i="23"/>
  <c r="D34" i="23"/>
  <c r="E26" i="23"/>
  <c r="D26" i="23" s="1"/>
  <c r="M26" i="23" s="1"/>
  <c r="Q24" i="17" l="1"/>
  <c r="D39" i="23"/>
  <c r="D38" i="23" s="1"/>
  <c r="E38" i="23"/>
  <c r="F38" i="23"/>
  <c r="J19" i="2" l="1"/>
  <c r="E25" i="24" l="1"/>
  <c r="E21" i="24"/>
  <c r="J37" i="24"/>
  <c r="C37" i="24"/>
  <c r="J35" i="24"/>
  <c r="C35" i="24" s="1"/>
  <c r="E14" i="24"/>
  <c r="E23" i="24"/>
  <c r="E38" i="24"/>
  <c r="E16" i="24"/>
  <c r="E15" i="24"/>
  <c r="D21" i="24"/>
  <c r="J41" i="24" l="1"/>
  <c r="C41" i="24" l="1"/>
  <c r="C14" i="20" l="1"/>
  <c r="C10" i="20" l="1"/>
  <c r="C9" i="20" s="1"/>
  <c r="E33" i="24" l="1"/>
  <c r="D30" i="23" l="1"/>
  <c r="L19" i="2" l="1"/>
  <c r="J18" i="2"/>
  <c r="L18" i="2" s="1"/>
  <c r="J17" i="2"/>
  <c r="L17" i="2" s="1"/>
  <c r="J16" i="2"/>
  <c r="L16" i="2" s="1"/>
  <c r="J15" i="2"/>
  <c r="L15" i="2" s="1"/>
  <c r="J14" i="2"/>
  <c r="L14" i="2" s="1"/>
  <c r="J13" i="2"/>
  <c r="L13" i="2" s="1"/>
  <c r="J12" i="2"/>
  <c r="L12" i="2" s="1"/>
  <c r="J11" i="2"/>
  <c r="L11" i="2" s="1"/>
  <c r="J10" i="2"/>
  <c r="L10" i="2" s="1"/>
  <c r="J9" i="2"/>
  <c r="J8" i="2" l="1"/>
  <c r="L9" i="2"/>
  <c r="I8" i="2"/>
  <c r="E18" i="23" l="1"/>
  <c r="D50" i="23"/>
  <c r="E50" i="23"/>
  <c r="F50" i="23"/>
  <c r="E47" i="23"/>
  <c r="F47" i="23"/>
  <c r="D48" i="23"/>
  <c r="D49" i="23"/>
  <c r="D47" i="23" s="1"/>
  <c r="D43" i="23"/>
  <c r="D44" i="23"/>
  <c r="D35" i="23"/>
  <c r="F18" i="4"/>
  <c r="F8" i="4"/>
  <c r="E18" i="4"/>
  <c r="F7" i="4" l="1"/>
  <c r="H16" i="4"/>
  <c r="H12" i="4"/>
  <c r="H9" i="4"/>
  <c r="H8" i="4"/>
  <c r="K15" i="4"/>
  <c r="K16" i="4"/>
  <c r="K14" i="4"/>
  <c r="K13" i="4"/>
  <c r="K12" i="4"/>
  <c r="K11" i="4"/>
  <c r="K10" i="4"/>
  <c r="K9" i="4"/>
  <c r="K8" i="4"/>
  <c r="G7" i="4"/>
  <c r="K7" i="4" l="1"/>
  <c r="G9" i="22" l="1"/>
  <c r="D11" i="2" l="1"/>
  <c r="C11" i="2" s="1"/>
  <c r="C9" i="2"/>
  <c r="D19" i="2"/>
  <c r="C19" i="2" s="1"/>
  <c r="D18" i="2"/>
  <c r="C18" i="2" s="1"/>
  <c r="D17" i="2"/>
  <c r="C17" i="2" s="1"/>
  <c r="D16" i="2"/>
  <c r="C16" i="2" s="1"/>
  <c r="D15" i="2"/>
  <c r="C15" i="2" s="1"/>
  <c r="D14" i="2"/>
  <c r="C14" i="2" s="1"/>
  <c r="D13" i="2"/>
  <c r="C13" i="2" s="1"/>
  <c r="D12" i="2"/>
  <c r="C12" i="2" s="1"/>
  <c r="D10" i="2"/>
  <c r="C10" i="2" s="1"/>
  <c r="D8" i="2" l="1"/>
  <c r="G35" i="22"/>
  <c r="G34" i="22"/>
  <c r="G36" i="22"/>
  <c r="F34" i="22"/>
  <c r="F35" i="22"/>
  <c r="F36" i="22"/>
  <c r="H19" i="2" l="1"/>
  <c r="H18" i="2"/>
  <c r="H17" i="2"/>
  <c r="H16" i="2"/>
  <c r="H15" i="2"/>
  <c r="H14" i="2"/>
  <c r="H13" i="2"/>
  <c r="H12" i="2"/>
  <c r="H11" i="2"/>
  <c r="H10" i="2"/>
  <c r="H9" i="2"/>
  <c r="E19" i="2" l="1"/>
  <c r="K19" i="2" s="1"/>
  <c r="E18" i="2"/>
  <c r="K18" i="2" s="1"/>
  <c r="E17" i="2"/>
  <c r="K17" i="2" s="1"/>
  <c r="E16" i="2"/>
  <c r="K16" i="2" s="1"/>
  <c r="E15" i="2"/>
  <c r="K15" i="2" s="1"/>
  <c r="E14" i="2"/>
  <c r="K14" i="2" s="1"/>
  <c r="E13" i="2"/>
  <c r="K13" i="2" s="1"/>
  <c r="E12" i="2"/>
  <c r="K12" i="2" s="1"/>
  <c r="E11" i="2"/>
  <c r="K11" i="2" s="1"/>
  <c r="E10" i="2"/>
  <c r="E9" i="2"/>
  <c r="K9" i="2" s="1"/>
  <c r="C8" i="2" l="1"/>
  <c r="K10" i="2"/>
  <c r="E8" i="2"/>
  <c r="F8" i="2"/>
  <c r="C37" i="22" l="1"/>
  <c r="C27" i="22"/>
  <c r="C25" i="22" s="1"/>
  <c r="C33" i="22" s="1"/>
  <c r="C19" i="22"/>
  <c r="C17" i="22" s="1"/>
  <c r="C10" i="22"/>
  <c r="C8" i="22" s="1"/>
  <c r="C32" i="22" l="1"/>
  <c r="D29" i="23"/>
  <c r="C18" i="12" l="1"/>
  <c r="F17" i="12"/>
  <c r="E17" i="12"/>
  <c r="D17" i="12"/>
  <c r="C16" i="12"/>
  <c r="F15" i="12"/>
  <c r="D15" i="12"/>
  <c r="C14" i="12"/>
  <c r="C12" i="12"/>
  <c r="F11" i="12"/>
  <c r="F10" i="12" s="1"/>
  <c r="D11" i="12"/>
  <c r="T12" i="13"/>
  <c r="L60" i="13"/>
  <c r="S12" i="13"/>
  <c r="S27" i="13"/>
  <c r="T27" i="13"/>
  <c r="S45" i="13"/>
  <c r="T45" i="13"/>
  <c r="S57" i="13"/>
  <c r="T57" i="13"/>
  <c r="R66" i="13"/>
  <c r="R44" i="13"/>
  <c r="R13" i="13"/>
  <c r="R15" i="13"/>
  <c r="R17" i="13"/>
  <c r="R18" i="13"/>
  <c r="R19" i="13"/>
  <c r="R20" i="13"/>
  <c r="R21" i="13"/>
  <c r="R22" i="13"/>
  <c r="R23" i="13"/>
  <c r="R24" i="13"/>
  <c r="R25" i="13"/>
  <c r="R26" i="13"/>
  <c r="R28" i="13"/>
  <c r="R29" i="13"/>
  <c r="R30" i="13"/>
  <c r="R31" i="13"/>
  <c r="R32" i="13"/>
  <c r="R33" i="13"/>
  <c r="R34" i="13"/>
  <c r="R37" i="13"/>
  <c r="R39" i="13"/>
  <c r="R40" i="13"/>
  <c r="R41" i="13"/>
  <c r="R45" i="13"/>
  <c r="R58" i="13"/>
  <c r="R59" i="13"/>
  <c r="R60" i="13"/>
  <c r="R61" i="13"/>
  <c r="R62" i="13"/>
  <c r="R63" i="13"/>
  <c r="R64" i="13"/>
  <c r="R65" i="13"/>
  <c r="R67" i="13"/>
  <c r="R68" i="13"/>
  <c r="R69" i="13"/>
  <c r="R70" i="13"/>
  <c r="R71" i="13"/>
  <c r="R72" i="13"/>
  <c r="R73" i="13"/>
  <c r="R74" i="13"/>
  <c r="R75" i="13"/>
  <c r="D10" i="12" l="1"/>
  <c r="R42" i="13"/>
  <c r="C11" i="12"/>
  <c r="C17" i="12"/>
  <c r="R14" i="13"/>
  <c r="C15" i="12"/>
  <c r="E15" i="12"/>
  <c r="E10" i="12" s="1"/>
  <c r="T11" i="13"/>
  <c r="S11" i="13"/>
  <c r="R38" i="13"/>
  <c r="R35" i="13" s="1"/>
  <c r="R27" i="13"/>
  <c r="R57" i="13"/>
  <c r="R16" i="13"/>
  <c r="C10" i="12" l="1"/>
  <c r="R12" i="13"/>
  <c r="R11" i="13" s="1"/>
  <c r="F12" i="22" l="1"/>
  <c r="G12" i="22"/>
  <c r="D21" i="17" l="1"/>
  <c r="L24" i="13" s="1"/>
  <c r="E19" i="22" l="1"/>
  <c r="G28" i="22" l="1"/>
  <c r="G20" i="22" l="1"/>
  <c r="F9" i="22"/>
  <c r="D10" i="22" l="1"/>
  <c r="D8" i="22" s="1"/>
  <c r="D8" i="4" l="1"/>
  <c r="C8" i="4" s="1"/>
  <c r="D45" i="23"/>
  <c r="D46" i="23"/>
  <c r="D32" i="23"/>
  <c r="D33" i="23"/>
  <c r="D28" i="23"/>
  <c r="D23" i="23"/>
  <c r="D19" i="23"/>
  <c r="E41" i="23"/>
  <c r="D42" i="23"/>
  <c r="F41" i="23"/>
  <c r="E14" i="23"/>
  <c r="D14" i="23" l="1"/>
  <c r="E13" i="23"/>
  <c r="D41" i="23"/>
  <c r="E40" i="23"/>
  <c r="E37" i="23" s="1"/>
  <c r="F40" i="23"/>
  <c r="F37" i="23" s="1"/>
  <c r="F36" i="23" s="1"/>
  <c r="G19" i="23" l="1"/>
  <c r="G13" i="23"/>
  <c r="E12" i="23"/>
  <c r="D40" i="23"/>
  <c r="D37" i="23" s="1"/>
  <c r="E36" i="23"/>
  <c r="E10" i="23" l="1"/>
  <c r="E9" i="23" s="1"/>
  <c r="M9" i="23" s="1"/>
  <c r="D36" i="23"/>
  <c r="F33" i="24" l="1"/>
  <c r="G33" i="24"/>
  <c r="H33" i="24"/>
  <c r="I33" i="24"/>
  <c r="K33" i="24"/>
  <c r="L33" i="24"/>
  <c r="M33" i="24"/>
  <c r="D44" i="24"/>
  <c r="F44" i="24"/>
  <c r="G44" i="24"/>
  <c r="H44" i="24"/>
  <c r="I44" i="24"/>
  <c r="K44" i="24"/>
  <c r="L44" i="24"/>
  <c r="M44" i="24"/>
  <c r="D50" i="17" l="1"/>
  <c r="G47" i="44" l="1"/>
  <c r="F47" i="44"/>
  <c r="E46" i="44"/>
  <c r="E43" i="44" s="1"/>
  <c r="D46" i="44"/>
  <c r="C46" i="44"/>
  <c r="G45" i="44"/>
  <c r="F45" i="44"/>
  <c r="D44" i="44"/>
  <c r="F44" i="44" s="1"/>
  <c r="C43" i="44"/>
  <c r="G42" i="44"/>
  <c r="F42" i="44"/>
  <c r="G41" i="44"/>
  <c r="F41" i="44"/>
  <c r="G40" i="44"/>
  <c r="F40" i="44"/>
  <c r="G39" i="44"/>
  <c r="F39" i="44"/>
  <c r="G38" i="44"/>
  <c r="F38" i="44"/>
  <c r="G37" i="44"/>
  <c r="F37" i="44"/>
  <c r="G36" i="44"/>
  <c r="F36" i="44"/>
  <c r="G35" i="44"/>
  <c r="F35" i="44"/>
  <c r="G34" i="44"/>
  <c r="F34" i="44"/>
  <c r="G33" i="44"/>
  <c r="F33" i="44"/>
  <c r="G32" i="44"/>
  <c r="F32" i="44"/>
  <c r="G31" i="44"/>
  <c r="F31" i="44"/>
  <c r="G30" i="44"/>
  <c r="F30" i="44"/>
  <c r="G29" i="44"/>
  <c r="F29" i="44"/>
  <c r="G28" i="44"/>
  <c r="F28" i="44"/>
  <c r="G27" i="44"/>
  <c r="F27" i="44"/>
  <c r="E26" i="44"/>
  <c r="D26" i="44"/>
  <c r="C26" i="44"/>
  <c r="G25" i="44"/>
  <c r="F25" i="44"/>
  <c r="G24" i="44"/>
  <c r="F24" i="44"/>
  <c r="G23" i="44"/>
  <c r="F23" i="44"/>
  <c r="G22" i="44"/>
  <c r="F22" i="44"/>
  <c r="G21" i="44"/>
  <c r="F21" i="44"/>
  <c r="G20" i="44"/>
  <c r="F20" i="44"/>
  <c r="G19" i="44"/>
  <c r="F19" i="44"/>
  <c r="G18" i="44"/>
  <c r="F18" i="44"/>
  <c r="G17" i="44"/>
  <c r="F17" i="44"/>
  <c r="G16" i="44"/>
  <c r="F16" i="44"/>
  <c r="G15" i="44"/>
  <c r="F15" i="44"/>
  <c r="G14" i="44"/>
  <c r="F14" i="44"/>
  <c r="G13" i="44"/>
  <c r="F13" i="44"/>
  <c r="G12" i="44"/>
  <c r="F12" i="44"/>
  <c r="E11" i="44"/>
  <c r="D11" i="44"/>
  <c r="C11" i="44"/>
  <c r="G11" i="44" l="1"/>
  <c r="F26" i="44"/>
  <c r="D10" i="44"/>
  <c r="D9" i="44" s="1"/>
  <c r="E10" i="44"/>
  <c r="E9" i="44" s="1"/>
  <c r="E8" i="44" s="1"/>
  <c r="C10" i="44"/>
  <c r="C9" i="44" s="1"/>
  <c r="C8" i="44" s="1"/>
  <c r="F46" i="44"/>
  <c r="F43" i="44" s="1"/>
  <c r="F11" i="44"/>
  <c r="G26" i="44"/>
  <c r="D43" i="44"/>
  <c r="G46" i="44"/>
  <c r="G44" i="44"/>
  <c r="G10" i="44" l="1"/>
  <c r="G9" i="44" s="1"/>
  <c r="F10" i="44"/>
  <c r="F9" i="44" s="1"/>
  <c r="F8" i="44" s="1"/>
  <c r="D8" i="44"/>
  <c r="G43" i="44"/>
  <c r="G8" i="44" s="1"/>
  <c r="E10" i="20" l="1"/>
  <c r="E9" i="20" s="1"/>
  <c r="E8" i="20" l="1"/>
  <c r="E6" i="20" s="1"/>
  <c r="G76" i="13" l="1"/>
  <c r="H76" i="13"/>
  <c r="I76" i="13"/>
  <c r="J76" i="13"/>
  <c r="K76" i="13"/>
  <c r="L76" i="13"/>
  <c r="H35" i="22" s="1"/>
  <c r="N76" i="13"/>
  <c r="O76" i="13"/>
  <c r="P76" i="13"/>
  <c r="Q76" i="13"/>
  <c r="S76" i="13"/>
  <c r="S10" i="13" s="1"/>
  <c r="T76" i="13"/>
  <c r="T10" i="13" s="1"/>
  <c r="U76" i="13"/>
  <c r="V76" i="13"/>
  <c r="R87" i="13"/>
  <c r="M87" i="13"/>
  <c r="F87" i="13"/>
  <c r="R86" i="13"/>
  <c r="M86" i="13"/>
  <c r="F86" i="13"/>
  <c r="R85" i="13"/>
  <c r="M85" i="13"/>
  <c r="F85" i="13"/>
  <c r="R84" i="13"/>
  <c r="M84" i="13"/>
  <c r="F84" i="13"/>
  <c r="E84" i="13" s="1"/>
  <c r="R83" i="13"/>
  <c r="M83" i="13"/>
  <c r="F83" i="13"/>
  <c r="R82" i="13"/>
  <c r="M82" i="13"/>
  <c r="F82" i="13"/>
  <c r="R81" i="13"/>
  <c r="M81" i="13"/>
  <c r="F81" i="13"/>
  <c r="R80" i="13"/>
  <c r="M80" i="13"/>
  <c r="F80" i="13"/>
  <c r="R79" i="13"/>
  <c r="M79" i="13"/>
  <c r="F79" i="13"/>
  <c r="R78" i="13"/>
  <c r="M78" i="13"/>
  <c r="F78" i="13"/>
  <c r="E78" i="13" s="1"/>
  <c r="R77" i="13"/>
  <c r="D77" i="13" s="1"/>
  <c r="M77" i="13"/>
  <c r="J35" i="22" l="1"/>
  <c r="K37" i="22" s="1"/>
  <c r="M76" i="13"/>
  <c r="E80" i="13"/>
  <c r="E85" i="13"/>
  <c r="E79" i="13"/>
  <c r="E83" i="13"/>
  <c r="E81" i="13"/>
  <c r="E82" i="13"/>
  <c r="E86" i="13"/>
  <c r="E87" i="13"/>
  <c r="R76" i="13"/>
  <c r="R10" i="13" s="1"/>
  <c r="F76" i="13"/>
  <c r="D83" i="13" l="1"/>
  <c r="D81" i="13"/>
  <c r="D85" i="13"/>
  <c r="D86" i="13"/>
  <c r="D82" i="13"/>
  <c r="D78" i="13"/>
  <c r="D84" i="13"/>
  <c r="E76" i="13"/>
  <c r="D80" i="13"/>
  <c r="D87" i="13"/>
  <c r="D79" i="13"/>
  <c r="D76" i="13" l="1"/>
  <c r="F42" i="13" l="1"/>
  <c r="F37" i="13"/>
  <c r="F44" i="13"/>
  <c r="E44" i="13" s="1"/>
  <c r="N9" i="15"/>
  <c r="O9" i="15"/>
  <c r="R11" i="15"/>
  <c r="R12" i="15"/>
  <c r="R13" i="15"/>
  <c r="R14" i="15"/>
  <c r="R15" i="15"/>
  <c r="R16" i="15"/>
  <c r="R17" i="15"/>
  <c r="R18" i="15"/>
  <c r="R19" i="15"/>
  <c r="R20" i="15"/>
  <c r="E42" i="13" l="1"/>
  <c r="D44" i="13"/>
  <c r="D44" i="17"/>
  <c r="D45" i="17"/>
  <c r="D46" i="17"/>
  <c r="D47" i="17"/>
  <c r="D48" i="17"/>
  <c r="D49" i="17"/>
  <c r="D42" i="17"/>
  <c r="L58" i="13" s="1"/>
  <c r="D34" i="17"/>
  <c r="L38" i="13" s="1"/>
  <c r="D35" i="17"/>
  <c r="D38" i="17"/>
  <c r="L41" i="13" s="1"/>
  <c r="D39" i="17"/>
  <c r="D40" i="17"/>
  <c r="D15" i="17"/>
  <c r="D17" i="17"/>
  <c r="L20" i="13" s="1"/>
  <c r="L11" i="24"/>
  <c r="E13" i="18"/>
  <c r="F13" i="18"/>
  <c r="F8" i="18" s="1"/>
  <c r="G13" i="18"/>
  <c r="G8" i="18" s="1"/>
  <c r="H13" i="18"/>
  <c r="H8" i="18" s="1"/>
  <c r="I13" i="18"/>
  <c r="I8" i="18" s="1"/>
  <c r="J13" i="18"/>
  <c r="J8" i="18" s="1"/>
  <c r="K13" i="18"/>
  <c r="K8" i="18" s="1"/>
  <c r="L13" i="18"/>
  <c r="L8" i="18" s="1"/>
  <c r="M13" i="18"/>
  <c r="M8" i="18" s="1"/>
  <c r="O13" i="18"/>
  <c r="O8" i="18" s="1"/>
  <c r="P13" i="18"/>
  <c r="P8" i="18" s="1"/>
  <c r="Q13" i="18"/>
  <c r="Q8" i="18" s="1"/>
  <c r="R13" i="18"/>
  <c r="R8" i="18" s="1"/>
  <c r="S13" i="18"/>
  <c r="S8" i="18" s="1"/>
  <c r="J42" i="24"/>
  <c r="C42" i="24" s="1"/>
  <c r="E8" i="18" l="1"/>
  <c r="D13" i="18"/>
  <c r="D8" i="18" s="1"/>
  <c r="D33" i="24"/>
  <c r="F11" i="24" l="1"/>
  <c r="G11" i="24"/>
  <c r="H11" i="24"/>
  <c r="I11" i="24"/>
  <c r="K11" i="24"/>
  <c r="M11" i="24"/>
  <c r="J12" i="24"/>
  <c r="J13" i="24"/>
  <c r="J14" i="24"/>
  <c r="J15" i="24"/>
  <c r="J16" i="24"/>
  <c r="J17" i="24"/>
  <c r="J18" i="24"/>
  <c r="J19" i="24"/>
  <c r="J20" i="24"/>
  <c r="J21" i="24"/>
  <c r="J22" i="24"/>
  <c r="J23" i="24"/>
  <c r="J24" i="24"/>
  <c r="D25" i="24"/>
  <c r="F25" i="24"/>
  <c r="G25" i="24"/>
  <c r="H25" i="24"/>
  <c r="I25" i="24"/>
  <c r="K25" i="24"/>
  <c r="L25" i="24"/>
  <c r="M25" i="24"/>
  <c r="J26" i="24"/>
  <c r="J27" i="24"/>
  <c r="J28" i="24"/>
  <c r="J29" i="24"/>
  <c r="J30" i="24"/>
  <c r="J31" i="24"/>
  <c r="J32" i="24"/>
  <c r="J34" i="24"/>
  <c r="J36" i="24"/>
  <c r="J38" i="24"/>
  <c r="J39" i="24"/>
  <c r="J40" i="24"/>
  <c r="J45" i="24"/>
  <c r="J46" i="24"/>
  <c r="J47" i="24"/>
  <c r="C47" i="24" s="1"/>
  <c r="J48" i="24"/>
  <c r="C48" i="24" s="1"/>
  <c r="J49" i="24"/>
  <c r="C49" i="24" s="1"/>
  <c r="J50" i="24"/>
  <c r="C50" i="24" s="1"/>
  <c r="J51" i="24"/>
  <c r="C51" i="24" s="1"/>
  <c r="J52" i="24"/>
  <c r="C52" i="24" s="1"/>
  <c r="J53" i="24"/>
  <c r="C53" i="24" s="1"/>
  <c r="J54" i="24"/>
  <c r="J55" i="24"/>
  <c r="C55" i="24" s="1"/>
  <c r="J56" i="24"/>
  <c r="J57" i="24"/>
  <c r="C57" i="24" s="1"/>
  <c r="D58" i="24"/>
  <c r="E58" i="24"/>
  <c r="F58" i="24"/>
  <c r="G58" i="24"/>
  <c r="H58" i="24"/>
  <c r="I58" i="24"/>
  <c r="J58" i="24"/>
  <c r="K58" i="24"/>
  <c r="L58" i="24"/>
  <c r="M58" i="24"/>
  <c r="C59" i="24"/>
  <c r="C60" i="24"/>
  <c r="C61" i="24"/>
  <c r="C62" i="24"/>
  <c r="C63" i="24"/>
  <c r="C64" i="24"/>
  <c r="C65" i="24"/>
  <c r="C66" i="24"/>
  <c r="C67" i="24"/>
  <c r="C68" i="24"/>
  <c r="C69" i="24"/>
  <c r="J70" i="24"/>
  <c r="C70" i="24" s="1"/>
  <c r="J33" i="24" l="1"/>
  <c r="C45" i="24"/>
  <c r="J44" i="24"/>
  <c r="C19" i="24"/>
  <c r="J25" i="24"/>
  <c r="C58" i="24"/>
  <c r="C39" i="24"/>
  <c r="C17" i="24"/>
  <c r="L10" i="24"/>
  <c r="L9" i="24" s="1"/>
  <c r="I10" i="24"/>
  <c r="G10" i="24"/>
  <c r="J11" i="24"/>
  <c r="M10" i="24"/>
  <c r="K10" i="24"/>
  <c r="H10" i="24"/>
  <c r="F10" i="24"/>
  <c r="C40" i="24"/>
  <c r="M9" i="24" l="1"/>
  <c r="M8" i="24" s="1"/>
  <c r="F9" i="24"/>
  <c r="F8" i="24" s="1"/>
  <c r="H9" i="24"/>
  <c r="H8" i="24" s="1"/>
  <c r="K8" i="24"/>
  <c r="K9" i="24"/>
  <c r="I9" i="24"/>
  <c r="I8" i="24" s="1"/>
  <c r="G8" i="24"/>
  <c r="G9" i="24"/>
  <c r="L8" i="24"/>
  <c r="J10" i="24"/>
  <c r="J9" i="24" l="1"/>
  <c r="J8" i="24" s="1"/>
  <c r="D9" i="4"/>
  <c r="C9" i="4" s="1"/>
  <c r="D10" i="4"/>
  <c r="C10" i="4" s="1"/>
  <c r="D11" i="4"/>
  <c r="C11" i="4" s="1"/>
  <c r="D12" i="4"/>
  <c r="C12" i="4" s="1"/>
  <c r="D13" i="4"/>
  <c r="C13" i="4" s="1"/>
  <c r="D14" i="4"/>
  <c r="C14" i="4" s="1"/>
  <c r="D15" i="4"/>
  <c r="C15" i="4" s="1"/>
  <c r="D16" i="4"/>
  <c r="C16" i="4" s="1"/>
  <c r="D17" i="4"/>
  <c r="C17" i="4" s="1"/>
  <c r="D18" i="4"/>
  <c r="C18" i="4" s="1"/>
  <c r="G29" i="22"/>
  <c r="G21" i="22"/>
  <c r="G18" i="22"/>
  <c r="F38" i="22"/>
  <c r="F39" i="22"/>
  <c r="F28" i="22"/>
  <c r="F29" i="22"/>
  <c r="F26" i="22"/>
  <c r="F20" i="22"/>
  <c r="F21" i="22"/>
  <c r="F22" i="22"/>
  <c r="F23" i="22"/>
  <c r="F24" i="22"/>
  <c r="F18" i="22"/>
  <c r="H9" i="15"/>
  <c r="M7" i="4"/>
  <c r="D42" i="13"/>
  <c r="P9" i="17"/>
  <c r="F64" i="13"/>
  <c r="E64" i="13" s="1"/>
  <c r="F63" i="13"/>
  <c r="E63" i="13" s="1"/>
  <c r="P9" i="15"/>
  <c r="Q9" i="15"/>
  <c r="M32" i="17"/>
  <c r="E52" i="17"/>
  <c r="F52" i="17"/>
  <c r="G52" i="17"/>
  <c r="H52" i="17"/>
  <c r="I52" i="17"/>
  <c r="J52" i="17"/>
  <c r="K52" i="17"/>
  <c r="L52" i="17"/>
  <c r="M52" i="17"/>
  <c r="N52" i="17"/>
  <c r="O52" i="17"/>
  <c r="P52" i="17"/>
  <c r="R52" i="17"/>
  <c r="S52" i="17"/>
  <c r="E41" i="17"/>
  <c r="F41" i="17"/>
  <c r="H41" i="17"/>
  <c r="I41" i="17"/>
  <c r="J41" i="17"/>
  <c r="K41" i="17"/>
  <c r="L41" i="17"/>
  <c r="M41" i="17"/>
  <c r="N41" i="17"/>
  <c r="O41" i="17"/>
  <c r="P41" i="17"/>
  <c r="Q41" i="17"/>
  <c r="R41" i="17"/>
  <c r="F32" i="17"/>
  <c r="G32" i="17"/>
  <c r="H32" i="17"/>
  <c r="I32" i="17"/>
  <c r="J32" i="17"/>
  <c r="K32" i="17"/>
  <c r="L32" i="17"/>
  <c r="O32" i="17"/>
  <c r="P32" i="17"/>
  <c r="Q32" i="17"/>
  <c r="R32" i="17"/>
  <c r="S32" i="17"/>
  <c r="E24" i="17"/>
  <c r="F24" i="17"/>
  <c r="G24" i="17"/>
  <c r="H24" i="17"/>
  <c r="I24" i="17"/>
  <c r="J24" i="17"/>
  <c r="K24" i="17"/>
  <c r="L24" i="17"/>
  <c r="M24" i="17"/>
  <c r="N24" i="17"/>
  <c r="O24" i="17"/>
  <c r="P24" i="17"/>
  <c r="R24" i="17"/>
  <c r="S24" i="17"/>
  <c r="E9" i="17"/>
  <c r="F9" i="17"/>
  <c r="G9" i="17"/>
  <c r="H9" i="17"/>
  <c r="I9" i="17"/>
  <c r="J9" i="17"/>
  <c r="K9" i="17"/>
  <c r="L9" i="17"/>
  <c r="M9" i="17"/>
  <c r="O9" i="17"/>
  <c r="R9" i="17"/>
  <c r="S9" i="17"/>
  <c r="D23" i="17"/>
  <c r="K45" i="13"/>
  <c r="G12" i="13"/>
  <c r="H12" i="13"/>
  <c r="I12" i="13"/>
  <c r="J12" i="13"/>
  <c r="K12" i="13"/>
  <c r="M12" i="13"/>
  <c r="L45" i="13"/>
  <c r="U12" i="13"/>
  <c r="G57" i="13"/>
  <c r="H57" i="13"/>
  <c r="I57" i="13"/>
  <c r="J57" i="13"/>
  <c r="K57" i="13"/>
  <c r="M57" i="13"/>
  <c r="N57" i="13"/>
  <c r="O57" i="13"/>
  <c r="P57" i="13"/>
  <c r="Q57" i="13"/>
  <c r="U57" i="13"/>
  <c r="V57" i="13"/>
  <c r="G45" i="13"/>
  <c r="H45" i="13"/>
  <c r="I45" i="13"/>
  <c r="J45" i="13"/>
  <c r="M45" i="13"/>
  <c r="N45" i="13"/>
  <c r="O45" i="13"/>
  <c r="Q45" i="13"/>
  <c r="U45" i="13"/>
  <c r="V45" i="13"/>
  <c r="F39" i="13"/>
  <c r="G27" i="13"/>
  <c r="H27" i="13"/>
  <c r="I27" i="13"/>
  <c r="J27" i="13"/>
  <c r="K27" i="13"/>
  <c r="M27" i="13"/>
  <c r="N27" i="13"/>
  <c r="O27" i="13"/>
  <c r="P27" i="13"/>
  <c r="Q27" i="13"/>
  <c r="U27" i="13"/>
  <c r="V27" i="13"/>
  <c r="N12" i="13"/>
  <c r="O12" i="13"/>
  <c r="P12" i="13"/>
  <c r="Q12" i="13"/>
  <c r="V12" i="13"/>
  <c r="R88" i="13"/>
  <c r="F13" i="13"/>
  <c r="E13" i="13" s="1"/>
  <c r="D13" i="13" s="1"/>
  <c r="F14" i="13"/>
  <c r="F15" i="13"/>
  <c r="F16" i="13"/>
  <c r="F17" i="13"/>
  <c r="F18" i="13"/>
  <c r="E18" i="13" s="1"/>
  <c r="F19" i="13"/>
  <c r="F20" i="13"/>
  <c r="E20" i="13" s="1"/>
  <c r="F21" i="13"/>
  <c r="F22" i="13"/>
  <c r="F23" i="13"/>
  <c r="F24" i="13"/>
  <c r="E24" i="13" s="1"/>
  <c r="F25" i="13"/>
  <c r="F26" i="13"/>
  <c r="E26" i="13" s="1"/>
  <c r="F28" i="13"/>
  <c r="F29" i="13"/>
  <c r="F30" i="13"/>
  <c r="F31" i="13"/>
  <c r="F32" i="13"/>
  <c r="F33" i="13"/>
  <c r="F34" i="13"/>
  <c r="F38" i="13"/>
  <c r="F40" i="13"/>
  <c r="F41" i="13"/>
  <c r="F58" i="13"/>
  <c r="F59" i="13"/>
  <c r="F60" i="13"/>
  <c r="E60" i="13" s="1"/>
  <c r="D60" i="13" s="1"/>
  <c r="F61" i="13"/>
  <c r="F62" i="13"/>
  <c r="E62" i="13" s="1"/>
  <c r="F65" i="13"/>
  <c r="E65" i="13" s="1"/>
  <c r="D65" i="13" s="1"/>
  <c r="F66" i="13"/>
  <c r="E66" i="13" s="1"/>
  <c r="F67" i="13"/>
  <c r="E67" i="13" s="1"/>
  <c r="F68" i="13"/>
  <c r="E68" i="13" s="1"/>
  <c r="F69" i="13"/>
  <c r="E69" i="13" s="1"/>
  <c r="D69" i="13" s="1"/>
  <c r="F70" i="13"/>
  <c r="E70" i="13" s="1"/>
  <c r="F71" i="13"/>
  <c r="E71" i="13" s="1"/>
  <c r="F72" i="13"/>
  <c r="E72" i="13" s="1"/>
  <c r="F73" i="13"/>
  <c r="E73" i="13" s="1"/>
  <c r="D73" i="13" s="1"/>
  <c r="F74" i="13"/>
  <c r="E74" i="13" s="1"/>
  <c r="F75" i="13"/>
  <c r="E75" i="13" s="1"/>
  <c r="F88" i="13"/>
  <c r="E88" i="13" s="1"/>
  <c r="E37" i="13"/>
  <c r="D37" i="13" s="1"/>
  <c r="I9" i="15"/>
  <c r="J9" i="15"/>
  <c r="K9" i="15"/>
  <c r="L9" i="15"/>
  <c r="B23" i="18"/>
  <c r="D22" i="18"/>
  <c r="B22" i="18"/>
  <c r="D21" i="18"/>
  <c r="B21" i="18"/>
  <c r="D20" i="18"/>
  <c r="B20" i="18"/>
  <c r="D19" i="18"/>
  <c r="B19" i="18"/>
  <c r="D18" i="18"/>
  <c r="B18" i="18"/>
  <c r="D17" i="18"/>
  <c r="B17" i="18"/>
  <c r="D16" i="18"/>
  <c r="B16" i="18"/>
  <c r="D15" i="18"/>
  <c r="B15" i="18"/>
  <c r="D14" i="18"/>
  <c r="B14" i="18"/>
  <c r="H7" i="4"/>
  <c r="I7" i="4"/>
  <c r="J7" i="4"/>
  <c r="L7" i="4"/>
  <c r="N7" i="4"/>
  <c r="O7" i="4"/>
  <c r="E7" i="4"/>
  <c r="G13" i="2"/>
  <c r="G16" i="2"/>
  <c r="G11" i="2"/>
  <c r="G12" i="2"/>
  <c r="G17" i="2"/>
  <c r="F40" i="22"/>
  <c r="F16" i="22"/>
  <c r="G11" i="22"/>
  <c r="G14" i="22"/>
  <c r="G15" i="22"/>
  <c r="F13" i="22"/>
  <c r="F14" i="22"/>
  <c r="F15" i="22"/>
  <c r="F7" i="22"/>
  <c r="D37" i="22"/>
  <c r="D27" i="22"/>
  <c r="D25" i="22" s="1"/>
  <c r="D33" i="22" s="1"/>
  <c r="E27" i="22"/>
  <c r="D19" i="22"/>
  <c r="E17" i="22"/>
  <c r="M8" i="17" l="1"/>
  <c r="D33" i="17"/>
  <c r="D26" i="17"/>
  <c r="L29" i="13" s="1"/>
  <c r="D16" i="17"/>
  <c r="D14" i="17"/>
  <c r="D30" i="17"/>
  <c r="D43" i="17"/>
  <c r="N11" i="13"/>
  <c r="N10" i="13" s="1"/>
  <c r="F35" i="13"/>
  <c r="O8" i="17"/>
  <c r="J8" i="17"/>
  <c r="H8" i="17"/>
  <c r="D88" i="13"/>
  <c r="P8" i="17"/>
  <c r="I8" i="17"/>
  <c r="L8" i="17"/>
  <c r="F8" i="17"/>
  <c r="R8" i="17"/>
  <c r="K8" i="17"/>
  <c r="E38" i="13"/>
  <c r="G14" i="2"/>
  <c r="E14" i="13"/>
  <c r="D26" i="13"/>
  <c r="D75" i="13"/>
  <c r="D71" i="13"/>
  <c r="D67" i="13"/>
  <c r="E41" i="13"/>
  <c r="D41" i="13" s="1"/>
  <c r="G18" i="2"/>
  <c r="D63" i="13"/>
  <c r="G10" i="2"/>
  <c r="G15" i="2"/>
  <c r="D25" i="17"/>
  <c r="L28" i="13" s="1"/>
  <c r="C34" i="24"/>
  <c r="G41" i="17"/>
  <c r="N32" i="17"/>
  <c r="D66" i="13"/>
  <c r="D74" i="13"/>
  <c r="D72" i="13"/>
  <c r="D62" i="13"/>
  <c r="D24" i="13"/>
  <c r="D19" i="17"/>
  <c r="L22" i="13" s="1"/>
  <c r="E22" i="13" s="1"/>
  <c r="D22" i="13" s="1"/>
  <c r="D70" i="13"/>
  <c r="D68" i="13"/>
  <c r="D13" i="17"/>
  <c r="F27" i="13"/>
  <c r="Q11" i="13"/>
  <c r="Q10" i="13" s="1"/>
  <c r="M11" i="13"/>
  <c r="M10" i="13" s="1"/>
  <c r="D18" i="13"/>
  <c r="D20" i="13"/>
  <c r="U11" i="13"/>
  <c r="U10" i="13" s="1"/>
  <c r="I11" i="13"/>
  <c r="I10" i="13" s="1"/>
  <c r="V11" i="13"/>
  <c r="V10" i="13" s="1"/>
  <c r="J11" i="13"/>
  <c r="J10" i="13" s="1"/>
  <c r="F57" i="13"/>
  <c r="E61" i="13"/>
  <c r="D61" i="13" s="1"/>
  <c r="D32" i="22"/>
  <c r="E58" i="13"/>
  <c r="H11" i="13"/>
  <c r="H10" i="13" s="1"/>
  <c r="O11" i="13"/>
  <c r="O10" i="13" s="1"/>
  <c r="K11" i="13"/>
  <c r="K10" i="13" s="1"/>
  <c r="G11" i="13"/>
  <c r="G10" i="13" s="1"/>
  <c r="D64" i="13"/>
  <c r="N9" i="17"/>
  <c r="F12" i="13"/>
  <c r="D52" i="17"/>
  <c r="D7" i="4"/>
  <c r="F11" i="22"/>
  <c r="E8" i="22"/>
  <c r="D17" i="22"/>
  <c r="F27" i="22"/>
  <c r="G27" i="22"/>
  <c r="E25" i="22"/>
  <c r="G19" i="22"/>
  <c r="F19" i="22"/>
  <c r="C7" i="4"/>
  <c r="L59" i="13" l="1"/>
  <c r="L57" i="13" s="1"/>
  <c r="C16" i="24"/>
  <c r="L17" i="13"/>
  <c r="E17" i="13" s="1"/>
  <c r="D17" i="13" s="1"/>
  <c r="C15" i="24"/>
  <c r="L16" i="13"/>
  <c r="E16" i="13" s="1"/>
  <c r="D16" i="13" s="1"/>
  <c r="C18" i="24"/>
  <c r="L19" i="13"/>
  <c r="E19" i="13" s="1"/>
  <c r="D19" i="13" s="1"/>
  <c r="C27" i="24"/>
  <c r="E29" i="13"/>
  <c r="D29" i="13" s="1"/>
  <c r="C31" i="24"/>
  <c r="L33" i="13"/>
  <c r="E33" i="13" s="1"/>
  <c r="D33" i="13" s="1"/>
  <c r="E28" i="13"/>
  <c r="E59" i="13"/>
  <c r="D59" i="13" s="1"/>
  <c r="E40" i="13"/>
  <c r="D40" i="13" s="1"/>
  <c r="D11" i="17"/>
  <c r="C13" i="24" s="1"/>
  <c r="D14" i="13"/>
  <c r="D18" i="17"/>
  <c r="D22" i="17"/>
  <c r="D12" i="17"/>
  <c r="C23" i="24"/>
  <c r="D51" i="17"/>
  <c r="D41" i="17" s="1"/>
  <c r="D31" i="17"/>
  <c r="D29" i="17"/>
  <c r="D20" i="17"/>
  <c r="G25" i="22"/>
  <c r="E33" i="22"/>
  <c r="N8" i="17"/>
  <c r="D38" i="13"/>
  <c r="G8" i="17"/>
  <c r="C54" i="24"/>
  <c r="G8" i="22"/>
  <c r="S41" i="17"/>
  <c r="F10" i="22"/>
  <c r="F8" i="22" s="1"/>
  <c r="G10" i="22"/>
  <c r="D11" i="24"/>
  <c r="D10" i="24" s="1"/>
  <c r="C21" i="24"/>
  <c r="C38" i="24"/>
  <c r="E44" i="24"/>
  <c r="C46" i="24"/>
  <c r="C56" i="24"/>
  <c r="C26" i="24"/>
  <c r="D28" i="17"/>
  <c r="Q9" i="17"/>
  <c r="Q8" i="17" s="1"/>
  <c r="E32" i="17"/>
  <c r="E8" i="17" s="1"/>
  <c r="F45" i="13"/>
  <c r="F11" i="13" s="1"/>
  <c r="D58" i="13"/>
  <c r="G17" i="22"/>
  <c r="F25" i="22"/>
  <c r="F17" i="22"/>
  <c r="C20" i="24" l="1"/>
  <c r="L21" i="13"/>
  <c r="E21" i="13" s="1"/>
  <c r="D21" i="13" s="1"/>
  <c r="C22" i="24"/>
  <c r="L23" i="13"/>
  <c r="E23" i="13" s="1"/>
  <c r="D23" i="13" s="1"/>
  <c r="C14" i="24"/>
  <c r="L15" i="13"/>
  <c r="C32" i="24"/>
  <c r="L34" i="13"/>
  <c r="E34" i="13" s="1"/>
  <c r="D34" i="13" s="1"/>
  <c r="C24" i="24"/>
  <c r="L25" i="13"/>
  <c r="E25" i="13" s="1"/>
  <c r="D25" i="13" s="1"/>
  <c r="E57" i="13"/>
  <c r="C29" i="24"/>
  <c r="L31" i="13"/>
  <c r="E31" i="13" s="1"/>
  <c r="D31" i="13" s="1"/>
  <c r="D28" i="13"/>
  <c r="D9" i="24"/>
  <c r="D8" i="24" s="1"/>
  <c r="C30" i="24"/>
  <c r="L32" i="13"/>
  <c r="E32" i="13" s="1"/>
  <c r="D32" i="13" s="1"/>
  <c r="D57" i="13"/>
  <c r="C44" i="24"/>
  <c r="S8" i="17"/>
  <c r="D9" i="17"/>
  <c r="F10" i="13"/>
  <c r="E11" i="24"/>
  <c r="C12" i="24"/>
  <c r="D27" i="17"/>
  <c r="L30" i="13" s="1"/>
  <c r="E30" i="13" s="1"/>
  <c r="D30" i="13" s="1"/>
  <c r="F33" i="22"/>
  <c r="E32" i="22"/>
  <c r="G33" i="22"/>
  <c r="C11" i="24" l="1"/>
  <c r="L12" i="13"/>
  <c r="E15" i="13"/>
  <c r="D27" i="13"/>
  <c r="L27" i="13"/>
  <c r="E27" i="13"/>
  <c r="D24" i="17"/>
  <c r="G32" i="22"/>
  <c r="F32" i="22"/>
  <c r="D15" i="13" l="1"/>
  <c r="D12" i="13" s="1"/>
  <c r="E12" i="13"/>
  <c r="C17" i="20"/>
  <c r="C8" i="20" s="1"/>
  <c r="C28" i="24"/>
  <c r="C25" i="24" s="1"/>
  <c r="C10" i="24" s="1"/>
  <c r="E10" i="24"/>
  <c r="E9" i="24" l="1"/>
  <c r="E8" i="24" s="1"/>
  <c r="C6" i="20"/>
  <c r="G6" i="20" l="1"/>
  <c r="F6" i="20"/>
  <c r="P45" i="13"/>
  <c r="P11" i="13" s="1"/>
  <c r="P10" i="13" s="1"/>
  <c r="E45" i="13" l="1"/>
  <c r="D45" i="13"/>
  <c r="F21" i="23" l="1"/>
  <c r="D15" i="23"/>
  <c r="F13" i="23"/>
  <c r="F12" i="23" s="1"/>
  <c r="F10" i="23" s="1"/>
  <c r="F9" i="23" s="1"/>
  <c r="N9" i="23" s="1"/>
  <c r="G9" i="2"/>
  <c r="D21" i="23" l="1"/>
  <c r="D18" i="23" s="1"/>
  <c r="D13" i="23"/>
  <c r="F18" i="23"/>
  <c r="G19" i="2"/>
  <c r="H8" i="2"/>
  <c r="L8" i="2" s="1"/>
  <c r="D12" i="23" l="1"/>
  <c r="D10" i="23" s="1"/>
  <c r="D9" i="23" s="1"/>
  <c r="G8" i="2"/>
  <c r="K8" i="2" s="1"/>
  <c r="R9" i="15" l="1"/>
  <c r="M9" i="15"/>
  <c r="D36" i="17"/>
  <c r="L39" i="13"/>
  <c r="L35" i="13" s="1"/>
  <c r="L11" i="13" s="1"/>
  <c r="L10" i="13" s="1"/>
  <c r="D32" i="17"/>
  <c r="D8" i="17"/>
  <c r="C36" i="24"/>
  <c r="C33" i="24" s="1"/>
  <c r="C9" i="24" s="1"/>
  <c r="C8" i="24" s="1"/>
  <c r="E39" i="13" l="1"/>
  <c r="E35" i="13" l="1"/>
  <c r="E11" i="13" s="1"/>
  <c r="E10" i="13" s="1"/>
  <c r="D39" i="13"/>
  <c r="D35" i="13" s="1"/>
  <c r="D11" i="13" s="1"/>
  <c r="D10" i="13" s="1"/>
</calcChain>
</file>

<file path=xl/comments1.xml><?xml version="1.0" encoding="utf-8"?>
<comments xmlns="http://schemas.openxmlformats.org/spreadsheetml/2006/main">
  <authors>
    <author>AutoBVT</author>
  </authors>
  <commentList>
    <comment ref="E5" authorId="0">
      <text>
        <r>
          <rPr>
            <b/>
            <sz val="9"/>
            <color indexed="81"/>
            <rFont val="Tahoma"/>
            <family val="2"/>
            <charset val="163"/>
          </rPr>
          <t>AutoBVT:</t>
        </r>
        <r>
          <rPr>
            <sz val="9"/>
            <color indexed="81"/>
            <rFont val="Tahoma"/>
            <family val="2"/>
            <charset val="163"/>
          </rPr>
          <t xml:space="preserve">
</t>
        </r>
      </text>
    </comment>
  </commentList>
</comments>
</file>

<file path=xl/comments2.xml><?xml version="1.0" encoding="utf-8"?>
<comments xmlns="http://schemas.openxmlformats.org/spreadsheetml/2006/main">
  <authors>
    <author>AutoBVT</author>
  </authors>
  <commentList>
    <comment ref="A4" authorId="0">
      <text>
        <r>
          <rPr>
            <b/>
            <sz val="9"/>
            <color indexed="81"/>
            <rFont val="Tahoma"/>
            <family val="2"/>
            <charset val="163"/>
          </rPr>
          <t>AutoBVT:</t>
        </r>
        <r>
          <rPr>
            <sz val="9"/>
            <color indexed="81"/>
            <rFont val="Tahoma"/>
            <family val="2"/>
            <charset val="163"/>
          </rPr>
          <t xml:space="preserve">
</t>
        </r>
      </text>
    </comment>
  </commentList>
</comments>
</file>

<file path=xl/comments3.xml><?xml version="1.0" encoding="utf-8"?>
<comments xmlns="http://schemas.openxmlformats.org/spreadsheetml/2006/main">
  <authors>
    <author>VNN.R9</author>
  </authors>
  <commentList>
    <comment ref="A5" authorId="0">
      <text>
        <r>
          <rPr>
            <b/>
            <sz val="9"/>
            <color indexed="81"/>
            <rFont val="Tahoma"/>
            <family val="2"/>
          </rPr>
          <t>VNN.R9:</t>
        </r>
        <r>
          <rPr>
            <sz val="9"/>
            <color indexed="81"/>
            <rFont val="Tahoma"/>
            <family val="2"/>
          </rPr>
          <t xml:space="preserve">
</t>
        </r>
      </text>
    </comment>
  </commentList>
</comments>
</file>

<file path=xl/comments4.xml><?xml version="1.0" encoding="utf-8"?>
<comments xmlns="http://schemas.openxmlformats.org/spreadsheetml/2006/main">
  <authors>
    <author>Windows User</author>
  </authors>
  <commentList>
    <comment ref="Y52" authorId="0">
      <text>
        <r>
          <rPr>
            <b/>
            <sz val="9"/>
            <color indexed="81"/>
            <rFont val="Tahoma"/>
            <family val="2"/>
          </rPr>
          <t>Windows User:</t>
        </r>
        <r>
          <rPr>
            <sz val="9"/>
            <color indexed="81"/>
            <rFont val="Tahoma"/>
            <family val="2"/>
          </rPr>
          <t xml:space="preserve">
Tỉnh giao 1,827 tỷ mục  tiêu + 1,731 tiền huyện trích</t>
        </r>
      </text>
    </comment>
  </commentList>
</comments>
</file>

<file path=xl/comments5.xml><?xml version="1.0" encoding="utf-8"?>
<comments xmlns="http://schemas.openxmlformats.org/spreadsheetml/2006/main">
  <authors>
    <author>AutoBVT</author>
  </authors>
  <commentList>
    <comment ref="A5" authorId="0">
      <text>
        <r>
          <rPr>
            <b/>
            <sz val="9"/>
            <color indexed="81"/>
            <rFont val="Tahoma"/>
            <family val="2"/>
            <charset val="163"/>
          </rPr>
          <t>AutoBVT:</t>
        </r>
        <r>
          <rPr>
            <sz val="9"/>
            <color indexed="81"/>
            <rFont val="Tahoma"/>
            <family val="2"/>
            <charset val="163"/>
          </rPr>
          <t xml:space="preserve">
</t>
        </r>
      </text>
    </comment>
  </commentList>
</comments>
</file>

<file path=xl/sharedStrings.xml><?xml version="1.0" encoding="utf-8"?>
<sst xmlns="http://schemas.openxmlformats.org/spreadsheetml/2006/main" count="1626" uniqueCount="693">
  <si>
    <t>(3) Đối với các chỉ tiêu thu NSĐP, so sánh dự toán năm kế hoạch với ước thực hiện năm hiện hành. Đối với các chỉ
 tiêu chi NSĐP, so sánh dự toán năm kế hoạch với dự toán năm hiện hành.</t>
  </si>
  <si>
    <t>(2)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</si>
  <si>
    <t>Chi tế, dân số và gia đình</t>
  </si>
  <si>
    <t>Tươngđối  (%)</t>
  </si>
  <si>
    <t>4=2/1</t>
  </si>
  <si>
    <t>5=3/2</t>
  </si>
  <si>
    <t>10. cấp quyền khai thác khoáng sản</t>
  </si>
  <si>
    <t>11. Thu khác</t>
  </si>
  <si>
    <t>Biểu mẫu số 30</t>
  </si>
  <si>
    <t>Đơn vị: Triệu đồng</t>
  </si>
  <si>
    <t>STT</t>
  </si>
  <si>
    <t>Nội dung</t>
  </si>
  <si>
    <t>So sánh (3)</t>
  </si>
  <si>
    <t>Tuyệt đối</t>
  </si>
  <si>
    <t>A</t>
  </si>
  <si>
    <t>B</t>
  </si>
  <si>
    <t>I</t>
  </si>
  <si>
    <t>Nguồn thu ngân sách</t>
  </si>
  <si>
    <t>Thu ngân sách được hưởng theo phân cấp</t>
  </si>
  <si>
    <t>Thu bổ sung từ ngân sách cấp trên</t>
  </si>
  <si>
    <t>-</t>
  </si>
  <si>
    <t>Thu bổ sung cân đối ngân sách</t>
  </si>
  <si>
    <t>Thu bổ sung có mục tiêu</t>
  </si>
  <si>
    <t>Thu từ quỹ dự trữ tài chính (1)</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</si>
  <si>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</si>
  <si>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</si>
  <si>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</si>
  <si>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</si>
  <si>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</si>
  <si>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</si>
  <si>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</si>
  <si>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</si>
  <si>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III</t>
  </si>
  <si>
    <t>Bội chi NSĐP/Bội thu NSĐP (1)</t>
  </si>
  <si>
    <t>Thu bổ sung từ ngân sách cấp trên</t>
  </si>
  <si>
    <t>Thu kết dư</t>
  </si>
  <si>
    <t>Chi bổ sung cho ngân sách cấp dưới (2)</t>
  </si>
  <si>
    <t>(2) Ngân sách xã không có nhiệm vụ chi bổ sung cho ngân sách cấp dưới.</t>
  </si>
  <si>
    <t>Đơn vị: Triệu đồng</t>
  </si>
  <si>
    <t>Tên đơn vị (1)</t>
  </si>
  <si>
    <t>So sánh (%)</t>
  </si>
  <si>
    <t>Tổng số</t>
  </si>
  <si>
    <t>Bao gồm</t>
  </si>
  <si>
    <t>Tổng số</t>
  </si>
  <si>
    <t>Thu nội địa</t>
  </si>
  <si>
    <t>(2) Thu NSNN trên địa bàn huyện, xã không có thu từ dầu thô, thu từ hoạt động xuất, nhập khẩu. Các chỉ tiêu cột 3, 4, 7, 8 chỉ ghi dòng tổng số.</t>
  </si>
  <si>
    <t>Biểu mẫu số 32</t>
  </si>
  <si>
    <t>Đơn vị: Triệu đồng</t>
  </si>
  <si>
    <t>Tên đơn vị</t>
  </si>
  <si>
    <t>Tổng thu NSNN trên địa bàn</t>
  </si>
  <si>
    <t>I- Thu nội địa</t>
  </si>
  <si>
    <t>1. Thu từ khu vực DNNN do trung ương quản lý</t>
  </si>
  <si>
    <t>2. Thu từ khu vực DNNN do địa phương quản lý</t>
  </si>
  <si>
    <t>TỔNG SỐ</t>
  </si>
  <si>
    <t>(2) Thu nội địa chi tiết từng khu vực thu, khoản thu.</t>
  </si>
  <si>
    <t>(3) Thu NSNN trên địa bàn huyện, xã không có thu từ dầu thô, thu từ hoạt động xuất, nhập khẩu. Các chỉ tiêu cột 6, 7, 8, 9, 10, 11, 12, 13 chỉ ghi dòng tổng số.</t>
  </si>
  <si>
    <t>Biểu mẫu số 33</t>
  </si>
  <si>
    <t>TỔNG CHI NSĐP</t>
  </si>
  <si>
    <t>Chi đầu tư cho các dự án</t>
  </si>
  <si>
    <t>Chi giáo dục - đào tạo và dạy nghề</t>
  </si>
  <si>
    <t>Chi khoa học và công nghệ</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</si>
  <si>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</si>
  <si>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</si>
  <si>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</si>
  <si>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IV</t>
  </si>
  <si>
    <t>Chi bổ sung quỹ dự trữ tài chính (2)</t>
  </si>
  <si>
    <t>V</t>
  </si>
  <si>
    <t>Dự phòng ngân sách</t>
  </si>
  <si>
    <t>VI</t>
  </si>
  <si>
    <t>Chi tạo nguồn, điều chỉnh tiền lương</t>
  </si>
  <si>
    <t>C</t>
  </si>
  <si>
    <t>CHI CHUYỂN NGUỒN SANG NĂM SAU</t>
  </si>
  <si>
    <t>CHI BỔ SUNG CÂN ĐỐI CHO NGÂN SÁCH CẤP DƯỚI (1)</t>
  </si>
  <si>
    <t>Chi đầu tư phát triển (2)</t>
  </si>
  <si>
    <t>Chi quốc phòng</t>
  </si>
  <si>
    <t>Chi an ninh và trật tự an toàn xã hội</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</si>
  <si>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</si>
  <si>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</si>
  <si>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</si>
  <si>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</si>
  <si>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</si>
  <si>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</si>
  <si>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</si>
  <si>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</si>
  <si>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đầu tư và hỗ trợ vốn cho các doanh nghiệp cung cấp sản phẩm, dịch vụ công ích do Nhà nước đặt hàng, các tổ chức kinh tế,</t>
  </si>
  <si>
    <t>Chi thường xuyên</t>
  </si>
  <si>
    <t>Chi giáo dục - đào tạo và dạy nghề</t>
  </si>
  <si>
    <t>Chi khoa học và công nghệ (3)</t>
  </si>
  <si>
    <t>Chi an ninh và trật tự an toàn xã hội</t>
  </si>
  <si>
    <t>Chi y tế, dân số và gia đình</t>
  </si>
  <si>
    <t>Chi thể dục thể thao</t>
  </si>
  <si>
    <t>Chi hoạt động của cơ quan quản lý nhà nước, đảng, đoàn thể</t>
  </si>
  <si>
    <t>Chi thường xuyên khác</t>
  </si>
  <si>
    <t>(3) Theo quy định tại Điều 7, Điều 11 và Điều 39 Luật NSNN, ngân sách huyện, xã không có nhiệm vụ chi nghiên cứu khoa học và công nghệ, chi trả lãi vay, chi bổ sung quỹ dự trữ tài chính.</t>
  </si>
  <si>
    <t>Biểu mẫu số 35</t>
  </si>
  <si>
    <t>Chi dự phòng ngân sách</t>
  </si>
  <si>
    <t>Chi chương trình MTQG</t>
  </si>
  <si>
    <t>Chi chuyển nguồn sang ngân sách năm sau</t>
  </si>
  <si>
    <t>Chi đầu tư phát triển</t>
  </si>
  <si>
    <t>CÁC CƠ QUAN, TỔ CHỨC</t>
  </si>
  <si>
    <t>CHI DỰ PHÒNG NGÂN SÁCH</t>
  </si>
  <si>
    <t>CHI TẠO NGUỒN, ĐIỀU CHỈNH TIỀN LƯƠNG</t>
  </si>
  <si>
    <t>VII</t>
  </si>
  <si>
    <t>CHI CHUYỂN NGUỒN SANG NGÂN SÁCH NĂM SAU</t>
  </si>
  <si>
    <t>Biểu mẫu số 36</t>
  </si>
  <si>
    <t>Chi văn hóa thông tin</t>
  </si>
  <si>
    <t>Chi bảo vệ môi trường</t>
  </si>
  <si>
    <t>Trong đó</t>
  </si>
  <si>
    <t>Chi giao thông</t>
  </si>
  <si>
    <t>Biểu mẫu số 37</t>
  </si>
  <si>
    <t>Chi nông nghiệp, lâm nghiệp, thủy lợi, thủy sản</t>
  </si>
  <si>
    <t>Tên đơn vị (1)</t>
  </si>
  <si>
    <t>Biểu mẫu số 39</t>
  </si>
  <si>
    <t>Thu NSĐP được hưởng theo phân cấp</t>
  </si>
  <si>
    <t>Chia ra</t>
  </si>
  <si>
    <t>Số bổ sung cân đối từ ngân sách cấp trên</t>
  </si>
  <si>
    <t>Số bổ sung thực hiện cải cách tiền lương</t>
  </si>
  <si>
    <t>Tổng chi cân đối NSĐP</t>
  </si>
  <si>
    <t>Thu NSĐP hưởng 100%</t>
  </si>
  <si>
    <t>Thu phân chia</t>
  </si>
  <si>
    <t>Trong đó: Phần NSĐP được hưởng</t>
  </si>
  <si>
    <t>Thuế giá trị gia tăng</t>
  </si>
  <si>
    <t>Thuế thu nhập doanh nghiệp</t>
  </si>
  <si>
    <t>Biểu mẫu số 41</t>
  </si>
  <si>
    <t>Tổng chi ngân sách địa phương</t>
  </si>
  <si>
    <t>Tổng chi cân đối ngân sách địa phương</t>
  </si>
  <si>
    <t>Chi chương trình mục tiêu</t>
  </si>
  <si>
    <t>Chi bổ sung quỹ dự trữ tài chính</t>
  </si>
  <si>
    <t>Chi tạo nguồn điều chỉnh tiền lương</t>
  </si>
  <si>
    <t>Bổ sung vốn đầu tư để thực hiện các chương trình mục tiêu, nhiệm vụ</t>
  </si>
  <si>
    <t>Bổ sung vốn sự nghiệp thực hiện các chế độ, chính sách</t>
  </si>
  <si>
    <t>Bổ sung thực hiện các chương trình mục tiêu quốc gia</t>
  </si>
  <si>
    <t>Chi đầu tư từ nguồn vốn trong nước</t>
  </si>
  <si>
    <t>Chi đầu tư từ nguồn thu XSKT (nếu có)</t>
  </si>
  <si>
    <t>Chi đầu tư từ nguồn thu tiền sử dụng đất</t>
  </si>
  <si>
    <t>Chi giáo dục, đào tạo và dạy nghề</t>
  </si>
  <si>
    <t>Chi khoa học và công nghệ (2)</t>
  </si>
  <si>
    <t>Biểu mẫu số 42</t>
  </si>
  <si>
    <t>1=2+3+4</t>
  </si>
  <si>
    <t>Biểu mẫu số 45</t>
  </si>
  <si>
    <t>Tên quỹ</t>
  </si>
  <si>
    <t>Tổng nguồn vốn phát sinh trong năm</t>
  </si>
  <si>
    <t>Tổng sử dụng nguồn vốn trong năm</t>
  </si>
  <si>
    <t>Chênh lệch nguồn trong năm</t>
  </si>
  <si>
    <t>Trong đó: Hỗ trợ từ NSĐP (nếu có)</t>
  </si>
  <si>
    <t>5=2-4</t>
  </si>
  <si>
    <t>6=1+2-4</t>
  </si>
  <si>
    <t>10=7-9</t>
  </si>
  <si>
    <t>11=6+7-9</t>
  </si>
  <si>
    <t>a</t>
  </si>
  <si>
    <t>b</t>
  </si>
  <si>
    <t>Biểu mẫu số 47</t>
  </si>
  <si>
    <t>NGÂN SÁCH CẤP HUYỆN</t>
  </si>
  <si>
    <t>NGÂN SÁCH XÃ</t>
  </si>
  <si>
    <t>Thu NS cấp dưới nộp lên</t>
  </si>
  <si>
    <t>Chi thuộc nhiệm vụ của ngân sách cấp xã</t>
  </si>
  <si>
    <t>Chi thuộc nhiệm vụ của ngân sách cấp huyện</t>
  </si>
  <si>
    <t>UBND thị trấn</t>
  </si>
  <si>
    <t>Xã Sa Nghĩa</t>
  </si>
  <si>
    <t>Xã Sa Sơn</t>
  </si>
  <si>
    <t>Xã Sa Nhơn</t>
  </si>
  <si>
    <t>Xã Sa Bình</t>
  </si>
  <si>
    <t>Xã Ya Ly</t>
  </si>
  <si>
    <t>Xã Ya Xiêr</t>
  </si>
  <si>
    <t>Xã Ya Tăng</t>
  </si>
  <si>
    <t>Xã Rờ Kơi</t>
  </si>
  <si>
    <t>Xã Mô Rai</t>
  </si>
  <si>
    <t>Xã Hơ Moong</t>
  </si>
  <si>
    <t>HUYỆN SA THẦY</t>
  </si>
  <si>
    <t>DỰ TOÁN CHI NGÂN SÁCH ĐỊA PHƯƠNG, CHI NGÂN SÁCH CẤP HUYỆN</t>
  </si>
  <si>
    <t>UBND HUYỆN SA THẦY</t>
  </si>
  <si>
    <t>HĐND huyện giao</t>
  </si>
  <si>
    <t>CHI CÂN ĐỐI NGÂN SÁCH ĐỊA PHƯƠNG</t>
  </si>
  <si>
    <t>Trong đó: Chi cân đối ngân sách địa phương tính tỷ lệ điều tiết, số bổ sung cân đối từ ngân sách trung ương cho ngân sách địa phương (1)</t>
  </si>
  <si>
    <t>1.1</t>
  </si>
  <si>
    <t>Chi đầu tư và hỗ trợ vốn cho các doanh nghiệp cung cấp sản phẩm, dịch vụ công ích do Nhà nước đặt hàng, các tổ chức kinh tế, các tổ chức tài chính của địa phương theo quy định của pháp luật</t>
  </si>
  <si>
    <t>1.2</t>
  </si>
  <si>
    <t>Chi đầu tư phát triển của các dự án phân theo nguồn vốn</t>
  </si>
  <si>
    <t>Chi đầu tư XDCB vốn trong nước</t>
  </si>
  <si>
    <t>c</t>
  </si>
  <si>
    <t>Chi đầu tư từ nguồn thu xổ số kiến thiết</t>
  </si>
  <si>
    <t>d</t>
  </si>
  <si>
    <t>Chi đầu tư từ nguồn bội chi ngân sách địa phương</t>
  </si>
  <si>
    <t>Chi đầu tư phát triển phân theo lĩnh vực</t>
  </si>
  <si>
    <t>Chi an ninh</t>
  </si>
  <si>
    <t>Chi y tế, dân số và gia đình</t>
  </si>
  <si>
    <t>Chi hoạt động kinh tế</t>
  </si>
  <si>
    <t>Chi khác</t>
  </si>
  <si>
    <t>Chi sự nghiệp bảo vệ môi trường</t>
  </si>
  <si>
    <t>Chi thường xuyên các lĩnh vực khác</t>
  </si>
  <si>
    <t>Chi trả nợ lãi do chính quyền địa phương vay</t>
  </si>
  <si>
    <t>Chi tạo nguồn cải cách tiền lương</t>
  </si>
  <si>
    <t>Chi từ nguồn bổ sung có mục tiêu</t>
  </si>
  <si>
    <t>Chi thực hiện các chương trình mục tiêu quốc gia</t>
  </si>
  <si>
    <t xml:space="preserve"> Chương trình MTQG giảm nghèo bền vững</t>
  </si>
  <si>
    <t>+</t>
  </si>
  <si>
    <t xml:space="preserve"> Chương trình MTQG NTM</t>
  </si>
  <si>
    <t>Chi sự nghiệp</t>
  </si>
  <si>
    <t>Chi đầu tư thực hiện các chương trình mục tiêu, nhiệm vụ khác</t>
  </si>
  <si>
    <t>2.1</t>
  </si>
  <si>
    <t xml:space="preserve"> Ngân sách TW bổ sung</t>
  </si>
  <si>
    <t>Chi XDCB</t>
  </si>
  <si>
    <t xml:space="preserve"> Kinh phí thực hiện nhiệm vụ đảm bảo trật tự an toàn giao thông</t>
  </si>
  <si>
    <t>2.2</t>
  </si>
  <si>
    <t xml:space="preserve"> Ngân sách tỉnh bổ sung</t>
  </si>
  <si>
    <t>Hỗ trợ đầu tư các xã biên giới</t>
  </si>
  <si>
    <t xml:space="preserve"> Chi đo đạc, cấp giấy chứng nhận, quản lý đất đai</t>
  </si>
  <si>
    <t>Sửa chữa cầu treo</t>
  </si>
  <si>
    <t>Hỗ trợ đô thị mới được công nhận loại V</t>
  </si>
  <si>
    <t>Bổ sung tăng chi SN môi trường</t>
  </si>
  <si>
    <t>Hỗ trợ chi thường xuyên NS huyện, xã chưa cân đối được nguồn</t>
  </si>
  <si>
    <t>Chi từ nguồn hỗ trợ thực hiện các chế độ, chính sách theo quy định</t>
  </si>
  <si>
    <t>3.1</t>
  </si>
  <si>
    <t>Nguồn NS TW bổ sung mục tiêu</t>
  </si>
  <si>
    <t xml:space="preserve"> Hỗ trợ học tập và miễm giảm học phí</t>
  </si>
  <si>
    <t xml:space="preserve"> Cấp bù học phí giáo dục nghề nghiệp và giáo dục Đại học là người DTTS thuộc hộ nghèo, cận nghèo </t>
  </si>
  <si>
    <t xml:space="preserve"> Kinh phí Hỗ trợ ăn trưa cho trẻ Mẫu giáo từ 3-5 tuổi theo QĐ 239/QĐ-TTg ; NĐ 06/2018</t>
  </si>
  <si>
    <t>Hỗ trợ học sinh khuyết tật ( Học bổng và đồ dùng dạy học theo Thông tư Liên tịch số 42/2013/TTLT-BGDĐT-BLĐTBXH-BTC)</t>
  </si>
  <si>
    <t xml:space="preserve"> Học sinh bán trú và Trường PTDT bán trú theo (QĐ 85/2010) NĐ 116/CP</t>
  </si>
  <si>
    <t xml:space="preserve"> Kinh phí mua thẻ BHYT cho các đối tượng CCB, TNXP, BTXH, HS,SV hộ cận nghèo, hộ nông lâm ngư nghiệp có mức sống trung bình, người hiến bộ phận cơ thể người</t>
  </si>
  <si>
    <t xml:space="preserve">  Kinh phí mua thẻ BHYT cho các đối tượng CCB, TNXP</t>
  </si>
  <si>
    <t xml:space="preserve">  Kinh phí mua thẻ BHYT cho các đối tượng bảo trợ xã hội</t>
  </si>
  <si>
    <t xml:space="preserve"> Hỗ trợ chính sách đối với đối tượng bảo trợ xã hội; Hỗ trợ tiền điện hộ nghèo, hộ chính sách xã hội; Trợ giá trực tiếp cho người dân tộc thiểu số nghèo ở vùng khó khăn; Hỗ trợ chính sách người có uy tín trong đồng bào dân tộc thiểu số; hỗ trợ tổ chức, đơn vị sử dụng lao động là người ĐBDTTS</t>
  </si>
  <si>
    <t xml:space="preserve"> Hỗ trợ thực hiện chính sách đối với đối tượng BTXH theo NĐ 136/CP</t>
  </si>
  <si>
    <t xml:space="preserve"> Hỗ trợ tiền điện hộ nghèo, hộ chính sách xã hội ( nộp trả KP thừa 2017)</t>
  </si>
  <si>
    <t xml:space="preserve"> Trợ giá trực tiếp cho người dân tộc thiểu số nghèo ở vùng khó khăn theo QĐ 102/CP;</t>
  </si>
  <si>
    <t xml:space="preserve"> Hỗ trợ chính sách người có uy tín trong đồng bào dân tộc thiểu số; </t>
  </si>
  <si>
    <t>Sự nghiệp kinh tế</t>
  </si>
  <si>
    <t>Kinh phí thực hiện Đề án mạng lưới thú y</t>
  </si>
  <si>
    <t>Thực hiện cuộc vận động toàn dân xây dựng nông thôn mới, đô thị văn minh</t>
  </si>
  <si>
    <t>3.2</t>
  </si>
  <si>
    <t>Nguồn NS Tỉnh bổ sung mục tiêu</t>
  </si>
  <si>
    <t xml:space="preserve"> Hỗ trợ học sinh DTTS rất ít người theo QĐ 2123/QĐ-TTg</t>
  </si>
  <si>
    <t>Hỗ trợ tiền ăn đào tạo, bồi dưỡng CB Không chuyên trách cấp xã, thôn theo TT 36/TT-BTC</t>
  </si>
  <si>
    <t xml:space="preserve"> Chi trả phụ cấp hàng tháng cho đội ngũ cộng tác viên làm công tác giảm nghèo 2018</t>
  </si>
  <si>
    <t>Điều chuyển biên chế từ Sở NNPTNT tỉnh về huyện</t>
  </si>
  <si>
    <t>Điều chuyển biên chế từ Sở TN&amp;MT tỉnh về huyện</t>
  </si>
  <si>
    <t>BỘI CHI NGÂN SÁCH ĐỊA PHƯƠNG/BỘI THU NGÂN SÁCH ĐỊA PHƯƠNG</t>
  </si>
  <si>
    <t>CHI CHUYỂN NGUỒN SANG NĂM SAU CỦA NGÂN SÁCH ĐỊA PHƯƠNG</t>
  </si>
  <si>
    <t>e</t>
  </si>
  <si>
    <t>TỔNG CHI NGÂN SÁCH ĐỊA PHƯƠNG</t>
  </si>
  <si>
    <t>NS cấp huyện</t>
  </si>
  <si>
    <t>Ngân 
sách xã</t>
  </si>
  <si>
    <t>Chi đầu tư phát triển khác</t>
  </si>
  <si>
    <t>CHI NGÂN SÁCH CẤP HUYỆN THEO LĨNH VỰC</t>
  </si>
  <si>
    <t>Chi trả nợ lãi do chính quyền địa phương vay (2)</t>
  </si>
  <si>
    <t>I.1</t>
  </si>
  <si>
    <t>Quản lý hành chính</t>
  </si>
  <si>
    <t>Đơn vị quản lý nhà nước</t>
  </si>
  <si>
    <t>Văn phòng HĐND- UBND</t>
  </si>
  <si>
    <t>Phòng Nông nghiệp PTNT</t>
  </si>
  <si>
    <t>Phòng Tư Pháp</t>
  </si>
  <si>
    <t>Phòng Kinh tế- hạ tầng</t>
  </si>
  <si>
    <t>Phòng Tài chính- Kế hoạch</t>
  </si>
  <si>
    <t>Phòng giáo dục &amp; đào tạo</t>
  </si>
  <si>
    <t>Phòng Y Tế</t>
  </si>
  <si>
    <t>Phòng Lao động TB&amp;XH</t>
  </si>
  <si>
    <t>Phòng Văn Hóa</t>
  </si>
  <si>
    <t>Phòng Tài nguyên &amp; môi trường</t>
  </si>
  <si>
    <t>Phòng Nội vụ</t>
  </si>
  <si>
    <t>Thanh tra</t>
  </si>
  <si>
    <t>Phòng Dân tộc</t>
  </si>
  <si>
    <t>Cơ quan Đảng, đoàn thể</t>
  </si>
  <si>
    <t>Huyện ủy</t>
  </si>
  <si>
    <t>Ủy ban mặt trận TQVN</t>
  </si>
  <si>
    <t>Đoàn thanh nhiên</t>
  </si>
  <si>
    <t>Hội liên hiệp phụ nữ</t>
  </si>
  <si>
    <t xml:space="preserve"> Hội nông dân</t>
  </si>
  <si>
    <t>Hội cựu chiên binh</t>
  </si>
  <si>
    <t>Hội chữ thập đỏ</t>
  </si>
  <si>
    <t>Trung tâm bồi dưỡng chính trị</t>
  </si>
  <si>
    <t>I.2</t>
  </si>
  <si>
    <t>Đơn vị sự nghiệp công lập</t>
  </si>
  <si>
    <t>Đài Truyền thanh- truyền hình</t>
  </si>
  <si>
    <t>Trung tâm GDNN-GDTX</t>
  </si>
  <si>
    <t>Ban quản lý Dự án đầu tư XDCB</t>
  </si>
  <si>
    <t>Các xã, thị trấn</t>
  </si>
  <si>
    <t>Thị trấn</t>
  </si>
  <si>
    <t>Xã Ya tăng</t>
  </si>
  <si>
    <t>I.4</t>
  </si>
  <si>
    <t>Các đơn vị khác</t>
  </si>
  <si>
    <t>Công an</t>
  </si>
  <si>
    <t>Huyện đội</t>
  </si>
  <si>
    <t>Toà án nhân dân huyện</t>
  </si>
  <si>
    <t>Viện kiểm sát nhân dân</t>
  </si>
  <si>
    <t>UB Dân số KHHGĐ</t>
  </si>
  <si>
    <t>Trung tâm y tế</t>
  </si>
  <si>
    <t>Trung tâm giáo dục cộng đồng ( các xã, thị trấn)</t>
  </si>
  <si>
    <t>Trường Dân tộc nội trú</t>
  </si>
  <si>
    <t>Trường Trung học phổ thông</t>
  </si>
  <si>
    <t>Chi cục thuế</t>
  </si>
  <si>
    <t>Ngân hàng chính sách</t>
  </si>
  <si>
    <t>Liên đoàn lao động  huyện</t>
  </si>
  <si>
    <t>CHI TRẢ NỢ LÃI CÁC KHOẢN DO CHÍNH QUYỀN ĐỊA PHƯƠNG VAY (2)</t>
  </si>
  <si>
    <t>CHI BỔ SUNG QUỸ DỰ TRỮ TÀI CHÍNH (2)</t>
  </si>
  <si>
    <t>CHI BỔ SUNG CÓ MỤC TIÊU CHO NGÂN SÁCH CẤP DƯỚI (3)</t>
  </si>
  <si>
    <t>3. Thu từ khu vực kinh tế NQD</t>
  </si>
  <si>
    <t>4.Lệ phí trước Bạ</t>
  </si>
  <si>
    <t>5. Thuế  đất  phi nông nghiệp</t>
  </si>
  <si>
    <t>6. Thuế thu nhập cá nhân</t>
  </si>
  <si>
    <t>6.Thu phí, lệ phí</t>
  </si>
  <si>
    <t>9. Thu cho thuê mặt đất mặt nước</t>
  </si>
  <si>
    <t>Chi giáo dục - đào tạo và 
dạy nghề</t>
  </si>
  <si>
    <t>Chi khoa
 học và 
công nghệ</t>
  </si>
  <si>
    <t>Chi 
quốc
 phòng</t>
  </si>
  <si>
    <t>Chi phát 
thanh, truyền
 hình, 
thông tấn</t>
  </si>
  <si>
    <t>Chi thể
 dục thể
 thao</t>
  </si>
  <si>
    <t>Chi bảo 
vệ môi
trường</t>
  </si>
  <si>
    <t>Chi các 
hoạt động
 kinh tế</t>
  </si>
  <si>
    <t>Chi bảo
 đảm 
xã hội</t>
  </si>
  <si>
    <t>1</t>
  </si>
  <si>
    <t>2</t>
  </si>
  <si>
    <t>3</t>
  </si>
  <si>
    <t>Phòng TNMT</t>
  </si>
  <si>
    <t>4</t>
  </si>
  <si>
    <t xml:space="preserve">UBND các xã, thị trấn </t>
  </si>
  <si>
    <t>5</t>
  </si>
  <si>
    <t>6</t>
  </si>
  <si>
    <t>7</t>
  </si>
  <si>
    <t>8</t>
  </si>
  <si>
    <t>9</t>
  </si>
  <si>
    <t>10</t>
  </si>
  <si>
    <t>11</t>
  </si>
  <si>
    <t>Đơn vị QLNN</t>
  </si>
  <si>
    <t>DỰ TOÁN BỔ SUNG CÓ MỤC TIÊU TỪ NGÂN SÁCH CẤP TỈNH</t>
  </si>
  <si>
    <t>12</t>
  </si>
  <si>
    <t>13</t>
  </si>
  <si>
    <t>14</t>
  </si>
  <si>
    <t>15</t>
  </si>
  <si>
    <t>17</t>
  </si>
  <si>
    <t>Trung tâm Môi trường DV Đô thị</t>
  </si>
  <si>
    <t>Trung tâm dịch vụ nông nghiệp</t>
  </si>
  <si>
    <t>Trường THPT quang trung; DTNT; GDNN-GDTX</t>
  </si>
  <si>
    <t xml:space="preserve">Chi công tác đo đạc, quản lý đất đai </t>
  </si>
  <si>
    <t>Bổ sung Chương trình MTQG</t>
  </si>
  <si>
    <t>Bổ sung mục tiêu, nhiệm vụ</t>
  </si>
  <si>
    <t>Đoàn thanh niên</t>
  </si>
  <si>
    <t>Trung tâm văn hóa- TT, du lịch và truyền thông</t>
  </si>
  <si>
    <t>Trường THPT quang trung; PTDTNT; GDNN-GDTX</t>
  </si>
  <si>
    <t>Dự toán năm 2021</t>
  </si>
  <si>
    <t>Dự toán 2021</t>
  </si>
  <si>
    <t>UTH/KH</t>
  </si>
  <si>
    <t xml:space="preserve"> Sự nghiệp giáo dục - đào tạo và dạy nghề</t>
  </si>
  <si>
    <t xml:space="preserve"> Sự nghiệp giáo dục </t>
  </si>
  <si>
    <t>Mầm non</t>
  </si>
  <si>
    <t>Trường Mầm non Sơn Ca</t>
  </si>
  <si>
    <t>Trường Mầm non Sao Mai</t>
  </si>
  <si>
    <t>Trường Mầm non Vàng Anh</t>
  </si>
  <si>
    <t>Trường Mầm non Ánh Dương</t>
  </si>
  <si>
    <t>Trường Mầm non Hoa Sen</t>
  </si>
  <si>
    <t>Trường Mầm non Tuổi Thơ</t>
  </si>
  <si>
    <t>Trường Mầm non Bình Minh</t>
  </si>
  <si>
    <t>Trường Mầm non Rờ Kơi</t>
  </si>
  <si>
    <t>Trường Mầm non Sa Nhơn</t>
  </si>
  <si>
    <t>Trường Mầm non Ya Xiêr</t>
  </si>
  <si>
    <t>Trường Mầm non Mô Ray</t>
  </si>
  <si>
    <t>Trung học cơ sở</t>
  </si>
  <si>
    <t>Trường THCS Rờ Kơi</t>
  </si>
  <si>
    <t>Trường THCS Phan Đình Phùng</t>
  </si>
  <si>
    <t>Trường TH - THCS Chu Văn An</t>
  </si>
  <si>
    <t>Trường TH - THCS Ya Ly</t>
  </si>
  <si>
    <t>Trường TH - THCS Sa Nhơn</t>
  </si>
  <si>
    <t>Trường TH - THCS Ya Xiêr</t>
  </si>
  <si>
    <t>Trường TH - THCS Nguyễn Trãi</t>
  </si>
  <si>
    <t>Trường TH - THCS Lê Qúy Đôn</t>
  </si>
  <si>
    <t xml:space="preserve"> Sự nghiệp đào tạo và dạy nghề</t>
  </si>
  <si>
    <t>Sự nghiệp bảo vệ môi trường</t>
  </si>
  <si>
    <t>Thu từ dịch vụ thu gom vận chuyển rác</t>
  </si>
  <si>
    <t>Thu dịch vụ sử dụng mặt bằng kinh doanh</t>
  </si>
  <si>
    <t>Thu từ dịch vụ trông giữ xe</t>
  </si>
  <si>
    <t xml:space="preserve"> Sự nghiệp văn hóa thông tin</t>
  </si>
  <si>
    <t xml:space="preserve"> Sự nghiệp phát thanh truyền hình</t>
  </si>
  <si>
    <t xml:space="preserve"> Sự nghiệp thể dục thể thao</t>
  </si>
  <si>
    <t>Quỹ khuyến học</t>
  </si>
  <si>
    <t>Quỹ vì người nghèo</t>
  </si>
  <si>
    <t>Quỹ cứu trợ</t>
  </si>
  <si>
    <t>Quỹ đền ơn đáp nghĩa</t>
  </si>
  <si>
    <t>Quỹ hỗ trợ nông dân</t>
  </si>
  <si>
    <t>Tổng cộng</t>
  </si>
  <si>
    <t>Hỗ trợ Qũy hỗ trợ nông dân theo
 Quyết định 69/QĐ-UBND ngày 09/01/2020 ( Hội nông dân)</t>
  </si>
  <si>
    <t>Hỗ trợ Qũy hỗ trợ nông dân theo Quyết định 69/QĐ-UBND ngày 09/01/2020 (Hội nông dân)</t>
  </si>
  <si>
    <t>Trung tâm văn hóa- TT, DL&amp; Truyền thông</t>
  </si>
  <si>
    <t>Ghi chú</t>
  </si>
  <si>
    <t>UBND  tỉnh giao</t>
  </si>
  <si>
    <t xml:space="preserve"> Hỗ trợ đầu tư xây dụng nông thôn mới</t>
  </si>
  <si>
    <t>Thực hiện nhiệm vụ quy hoạch</t>
  </si>
  <si>
    <t>2=3+4</t>
  </si>
  <si>
    <t>Chi nguồn thu xổ số Kiến thiết: Ưu tiên Công trình Gíáo dục-ĐT thực hiện CTMTQG xây dựng NTM)</t>
  </si>
  <si>
    <t>Ước thực hiện năm 2021</t>
  </si>
  <si>
    <t>Dự toán năm 2022</t>
  </si>
  <si>
    <t>DỰ TOÁN THU NGÂN SÁCH NHÀ NƯỚC TRÊN ĐỊA BÀN TỪNG XÃ THEO LĨNH VỰC NĂM 2022</t>
  </si>
  <si>
    <t xml:space="preserve"> VÀ CHI NGÂN SÁCH XÃ THEO CƠ CẤU CHI NĂM 2022</t>
  </si>
  <si>
    <t>DỰ TOÁN CHI NGÂN SÁCH CẤP HUYỆN THEO LĨNH VỰC NĂM 2022</t>
  </si>
  <si>
    <t>DỰ TOÁN CHI NGÂN SÁCH CẤP HUYỆN CHO TỪNG CƠ QUAN, TỔ CHỨC THEO LĨNH VỰC NĂM 2022</t>
  </si>
  <si>
    <t>DỰ TOÁN CHI ĐẦU TƯ PHÁT TRIỂN CỦA NGÂN SÁCH CẤP HUYỆN CHO TỪNG CƠ QUAN, TỔ CHỨC THEO LĨNH VỰC NĂM 2022</t>
  </si>
  <si>
    <t>DỰ TOÁN CHI THƯỜNG XUYÊN CỦA NGÂN SÁCH CẤP HUYỆN CHO TỪNG CƠ QUAN, TỔ CHỨC THEO LĨNH VỰC NĂM 2022</t>
  </si>
  <si>
    <t>DỰ TOÁN CHI NGÂN SÁCH HUYỆN, XÃ NĂM 2022</t>
  </si>
  <si>
    <t xml:space="preserve"> CHO NGÂN SÁCH TỪNG HUYỆN NĂM 2022</t>
  </si>
  <si>
    <t>KẾ HOẠCH TÀI CHÍNH CỦA CÁC QUỸ TÀI CHÍNH NHÀ NƯỚC NGOÀI NGÂN SÁCH DO ĐỊA PHƯƠNG QUẢN LÝ NĂM 2022</t>
  </si>
  <si>
    <t>ĐÁNH GIÁ THỰC HIỆN THU DỊCH VỤ CỦA ĐƠN VỊ SỰ NGHIỆP CÔNG NĂM 2022</t>
  </si>
  <si>
    <t>Chi đầu tư XDCB</t>
  </si>
  <si>
    <t>Xã Sa nghĩa</t>
  </si>
  <si>
    <t>8. Thu tiền sử dụng đất</t>
  </si>
  <si>
    <t>Chi đầu tư Công trình cấp bách</t>
  </si>
  <si>
    <t>Kinh phí thực hiện Đề án Cồng chiêng</t>
  </si>
  <si>
    <t>Chi công tác đo đạc, quản lý đất đai</t>
  </si>
  <si>
    <t>DỰ TOÁN THU NGÂN SÁCH NHÀ NƯỚC TRÊN ĐỊA BÀN TỪNG XÃ NĂM 2022</t>
  </si>
  <si>
    <t>Dự toán tỉnh giao</t>
  </si>
  <si>
    <t>Dự toán huyện giao</t>
  </si>
  <si>
    <t>;-</t>
  </si>
  <si>
    <t>Nguồn sự nghiệp kinh tế thực hiện các đề án (Chưa phân bổ)</t>
  </si>
  <si>
    <t>Chi công tác đo đạc, quản lý đất đai ( Chưa phân bổ)</t>
  </si>
  <si>
    <t xml:space="preserve">Đơn vị sự nghiệp giáo dục </t>
  </si>
  <si>
    <t>Ước thực hiện năm 2021</t>
  </si>
  <si>
    <t>Kế hoạch năm 2022</t>
  </si>
  <si>
    <t>Mẫu biểu số 15/NĐ31</t>
  </si>
  <si>
    <t>CÂN ĐỐI NGÂN SÁCH ĐỊA PHƯƠNG NĂM 2022</t>
  </si>
  <si>
    <t>ĐVT: Triệu đồng</t>
  </si>
  <si>
    <t>Ước
 thực hiện năm 2021</t>
  </si>
  <si>
    <t>Dự toán 2022</t>
  </si>
  <si>
    <t>So sánh DT 2022
/UTH 2021 (3)</t>
  </si>
  <si>
    <t>Tỉnh giao</t>
  </si>
  <si>
    <t xml:space="preserve"> Huyện giao</t>
  </si>
  <si>
    <t>Huyện giao</t>
  </si>
  <si>
    <t>Tương 
đối (%)</t>
  </si>
  <si>
    <t>TỔNG NGUỒN THU NGÂN SÁCH ĐỊA PHƯƠNG</t>
  </si>
  <si>
    <t>Các khoản thu NSĐP hưởng 100%</t>
  </si>
  <si>
    <t>Các khoản thu phân chia NSĐP theo tỷ lệ %</t>
  </si>
  <si>
    <t>Thu loại trừ tiền sử dụng đất</t>
  </si>
  <si>
    <t xml:space="preserve"> Ngân sách cấp dưới nộp lên</t>
  </si>
  <si>
    <t>Chi đầu tư phát triển (1)</t>
  </si>
  <si>
    <t>Chi trả nợ lãi, phí</t>
  </si>
  <si>
    <t>Chi tạo nguồn thực hiện CCTL</t>
  </si>
  <si>
    <t>Chi thực hiện các chương trình mục tiêu, nhiệm vụ</t>
  </si>
  <si>
    <t>Chi thực hiện các chế độ, chính sách</t>
  </si>
  <si>
    <t>Biểu mẫu số 16/NĐ31</t>
  </si>
  <si>
    <t>DỰ TOÁN THU NGÂN SÁCH NHÀ NƯỚC THEO LĨNH VỰC NĂM 2022</t>
  </si>
  <si>
    <t>UTH năm 2021</t>
  </si>
  <si>
    <t>So sánh % DT2022/TH 2021</t>
  </si>
  <si>
    <t>Tổng
 thu NSNN</t>
  </si>
  <si>
    <t>Thu
 NSĐP</t>
  </si>
  <si>
    <t>Dự toán
 thu trên địa bàn</t>
  </si>
  <si>
    <t>Thu NSĐP</t>
  </si>
  <si>
    <t>Tổng thu NSNN</t>
  </si>
  <si>
    <t>TỔNG THU NSNN</t>
  </si>
  <si>
    <t>Thu từ khu vực DNNN trung ương quản lý</t>
  </si>
  <si>
    <t>Tr. Đó: Từ các nhà máy thủy điện</t>
  </si>
  <si>
    <t>1.3</t>
  </si>
  <si>
    <t>Thuế tài nguyên</t>
  </si>
  <si>
    <t>Thuế tài nguyên rừng</t>
  </si>
  <si>
    <t>Thuế tài nguyên khoáng sản</t>
  </si>
  <si>
    <t>Thu từ khu vực DNNN địa phương quản lý</t>
  </si>
  <si>
    <t>2.3</t>
  </si>
  <si>
    <t>Thuế TTĐB</t>
  </si>
  <si>
    <t>Thu từ KV DN có vốn đầu tư nước ngoài</t>
  </si>
  <si>
    <t>Thu từ khu vục kinh tế ngoài quốc doanh</t>
  </si>
  <si>
    <t>4.1</t>
  </si>
  <si>
    <t>Trong đó: Từ các nhà máy sản xuất chế biến TBS</t>
  </si>
  <si>
    <t>4.2</t>
  </si>
  <si>
    <t>Thuế thu nhập DN</t>
  </si>
  <si>
    <t>4.3</t>
  </si>
  <si>
    <t>Thuế TTĐB hàng nội địa</t>
  </si>
  <si>
    <t>4.4</t>
  </si>
  <si>
    <t>Thuế Tài nguyên nước</t>
  </si>
  <si>
    <t>Thuế tài nguyên khác</t>
  </si>
  <si>
    <t>4.5</t>
  </si>
  <si>
    <t>Thu khác ngoài QD</t>
  </si>
  <si>
    <t>Lệ phí trước bạ</t>
  </si>
  <si>
    <t>Thuế sử dụng đất nông nghiệp</t>
  </si>
  <si>
    <t>Thuế SD đất phi nông nghiệp</t>
  </si>
  <si>
    <t>Thuế thu nhập cá nhân</t>
  </si>
  <si>
    <t>Thu thuế bảo vệ môi trường</t>
  </si>
  <si>
    <t xml:space="preserve"> Thu từ hàng hóa nhập khẩu</t>
  </si>
  <si>
    <t xml:space="preserve"> Thu từ hàng hóa  sản xuất trong nước</t>
  </si>
  <si>
    <t>Thu phí và lệ phí</t>
  </si>
  <si>
    <t>Phí, lệ phí cơ quan Trung ương thu</t>
  </si>
  <si>
    <t>Phí, lệ phí cơ quan địa phương</t>
  </si>
  <si>
    <t>Phí bảo vệ môi trường khai thác khoáng sản</t>
  </si>
  <si>
    <t>Lệ phí môn bài</t>
  </si>
  <si>
    <t>Phí lệ phí khác</t>
  </si>
  <si>
    <t xml:space="preserve">  Tr.đó Phí sử dụng các công trình kết cấu hạ tầng</t>
  </si>
  <si>
    <t>Tiền sử dụng đất</t>
  </si>
  <si>
    <t xml:space="preserve">Từ dự án khai thác quỹ đất  </t>
  </si>
  <si>
    <t>Từ nguồn sử dụng đất khác</t>
  </si>
  <si>
    <t>Thu cho thuê mặt đất mặt nước</t>
  </si>
  <si>
    <t>Thu từ bán tài sản nhà nước</t>
  </si>
  <si>
    <t>Trong đó: - Do trung ương quản lý</t>
  </si>
  <si>
    <t xml:space="preserve">                - Do địa phương quản lý</t>
  </si>
  <si>
    <t>Thu từ tài sản được xác lập quyền sở hữu của NN</t>
  </si>
  <si>
    <t>Trong đó: - Do trung ương xử lý</t>
  </si>
  <si>
    <t xml:space="preserve">                - Do địa phương xử lý</t>
  </si>
  <si>
    <t>Thu tiền cho thuê và bán nhà ở thuộc sở hữu nhà nước</t>
  </si>
  <si>
    <t>Thu khác</t>
  </si>
  <si>
    <t>13.1</t>
  </si>
  <si>
    <t>Phạt vi pham hành chính</t>
  </si>
  <si>
    <t>Phạt VPHC lĩnh vực  an toàn giao thông</t>
  </si>
  <si>
    <t>Do cơ quan trung ương thu</t>
  </si>
  <si>
    <t>Do cơ quan địa phương thu</t>
  </si>
  <si>
    <t>Phạt vi phạm hành chính  lĩnh vực khác</t>
  </si>
  <si>
    <t>16.2</t>
  </si>
  <si>
    <t>Tiền cây đứng cấp lại vốn điều lệ DA rừng bền vững</t>
  </si>
  <si>
    <t>13.2</t>
  </si>
  <si>
    <t>Các khoản thu khác còn lại</t>
  </si>
  <si>
    <t>Thu cấp quyền khai thác khoáng sản</t>
  </si>
  <si>
    <t>Giấy phép do trung ương cấp</t>
  </si>
  <si>
    <t>Giấy phép do UBND cấp tỉnh cấp</t>
  </si>
  <si>
    <t>Thu từ quỹ đất công ích và hoa lợi CS</t>
  </si>
  <si>
    <t>Thu cổ tức và lợi nhuận sau thuế</t>
  </si>
  <si>
    <t>Thu xổ số kiến thíêt</t>
  </si>
  <si>
    <t>Thu từ dầu thô</t>
  </si>
  <si>
    <t>Thu từ hoạt động xuất, nhập khẩu</t>
  </si>
  <si>
    <t>Thu viện trợ</t>
  </si>
  <si>
    <t>Biểu mẫu số 17/NĐ31</t>
  </si>
  <si>
    <t>DỰ TOÁN CHI NGÂN SÁCH ĐỊA PHƯƠNG THEO CƠ CẤU CHI NĂM 2022</t>
  </si>
  <si>
    <t>So sánh
 DT 2022/DT2021</t>
  </si>
  <si>
    <t>Số tuyệt đối</t>
  </si>
  <si>
    <t>Tương đối</t>
  </si>
  <si>
    <t xml:space="preserve">TỔNG CHI NGÂN SÁCH ĐỊA PHƯƠNG </t>
  </si>
  <si>
    <t>Trong đó: chia theo lĩnh vực</t>
  </si>
  <si>
    <t>Trong đó: Chia theo nguồn vốn</t>
  </si>
  <si>
    <t>Chi đầu tư công trình cấp bách</t>
  </si>
  <si>
    <t>Hỗ trợ thực hiện XDNTM</t>
  </si>
  <si>
    <t>Hỗ trợ tăng cường cơ sở vật chất, trang thiết bị dạy học và thiết bị giáo dục khác…</t>
  </si>
  <si>
    <t xml:space="preserve">Hỗ trợ sửa xe ô tô </t>
  </si>
  <si>
    <t>Tăng cường an ninh quốc phòng quan hệ quốc tế huyện biên giới</t>
  </si>
  <si>
    <t>Kinh phí diễn tập phòng thủ PT21</t>
  </si>
  <si>
    <t>Quy hoạch chung thị trấn; Quy hoạch nông thôn mới</t>
  </si>
  <si>
    <t>Kinh phí Đại hội các tổ chức đoàn thể và đại hội khác</t>
  </si>
  <si>
    <t>Kinh phí  thực hiện đề án Cồng chiêng</t>
  </si>
  <si>
    <t xml:space="preserve"> Kinh phí bù, miễm giảm học phí; hỗ trợ chi phí học tập</t>
  </si>
  <si>
    <t>Kinh phí thực hiện NĐ số 105/2020/NĐ-CP quy định chính sách phát triển giáo dục mầm non</t>
  </si>
  <si>
    <t xml:space="preserve"> Hỗ trợ Học sinh dân tộc thiểu số rất ít người theo Quyết định 2123/QĐ-TTg; Nghị định 57/Cp</t>
  </si>
  <si>
    <t>Bổ sung Tiền lương, chi thường xuyên giáo viên mầm non</t>
  </si>
  <si>
    <t>Kinh phí cấp bù thửy lợi phí</t>
  </si>
  <si>
    <t>Hỗ trợ mai táng phí</t>
  </si>
  <si>
    <t>Kế hoạch năm 2021</t>
  </si>
  <si>
    <t>DT 2022/
UTH2021</t>
  </si>
  <si>
    <t>Trường Mầm non Hoa Hông</t>
  </si>
  <si>
    <t>Trường Mầm non Họa Mi</t>
  </si>
  <si>
    <t xml:space="preserve">Trường Mầm non Chim Non </t>
  </si>
  <si>
    <t>Trường TH - THCS Võ Nguyên Giáp</t>
  </si>
  <si>
    <t>Trường THCS Hai Bà Trưng</t>
  </si>
  <si>
    <t>Trường Nguyễn Tất Thành</t>
  </si>
  <si>
    <t>Trường THCS Nguyễn Huệ</t>
  </si>
  <si>
    <t>Trường TH - THCS Ya Tăng</t>
  </si>
  <si>
    <t>Trường TH - THCS Sa Sơn</t>
  </si>
  <si>
    <t>Trường THCS Sa Nghĩa</t>
  </si>
  <si>
    <t>Địa điểm xây dựng</t>
  </si>
  <si>
    <t>Năng lực thiết kế</t>
  </si>
  <si>
    <t>Quyết định đầu tư</t>
  </si>
  <si>
    <t>Tổng số (tất cả các nguồn vốn)</t>
  </si>
  <si>
    <t>TT</t>
  </si>
  <si>
    <t>Nguồn vốn/ Danh mục dự án</t>
  </si>
  <si>
    <t>Chủ đầu tư</t>
  </si>
  <si>
    <t>Thời gian
KC-HT</t>
  </si>
  <si>
    <t>Lũy kế vốn bố trí đến năm 2020</t>
  </si>
  <si>
    <t>Kế hoạch trung hạn 5 năm giai đoạn 2021-2025</t>
  </si>
  <si>
    <t>Năm 2021</t>
  </si>
  <si>
    <t>Số QĐ, ngày tháng năm phê duyệt</t>
  </si>
  <si>
    <t>Tổng mức
 đầu tư</t>
  </si>
  <si>
    <t>Trđó: 
NSĐP</t>
  </si>
  <si>
    <t>Tổng số
(tất cả
các 
nguồn 
vốn)</t>
  </si>
  <si>
    <t>Trong đó: NSĐP</t>
  </si>
  <si>
    <t>Kế hoạch</t>
  </si>
  <si>
    <t>Dự kiến giải ngân từ ngày 01/01/2021 đến ngày 31/01/2022</t>
  </si>
  <si>
    <t>Tổng số 
(tất cả 
các 
nguồn
 vốn)</t>
  </si>
  <si>
    <t>Trong đó: 
NSĐP</t>
  </si>
  <si>
    <t>Thu hồi các khoản vốn ứng trước</t>
  </si>
  <si>
    <t>Thanh toán nợ XDCB</t>
  </si>
  <si>
    <t>Trong đó:
 NSĐP</t>
  </si>
  <si>
    <t>16</t>
  </si>
  <si>
    <t>18</t>
  </si>
  <si>
    <t>19</t>
  </si>
  <si>
    <t>20</t>
  </si>
  <si>
    <t>21</t>
  </si>
  <si>
    <t>22</t>
  </si>
  <si>
    <t>TỔNG CỘNG</t>
  </si>
  <si>
    <t>NGUỒN CÂN ĐỐI THEO TIÊU CHI QUY ĐỊNH TẠI QĐ 26/2020/QĐ-TTG</t>
  </si>
  <si>
    <t>Nguồn cân đối NSĐP theo tiêu chí tại Nghị quyết số 63/2020/NQ-HĐND của HĐND tỉnh</t>
  </si>
  <si>
    <t>(1)</t>
  </si>
  <si>
    <t>Các dự án hoàn thành, bàn giao, đưa vào sử dụng đến ngày 31/12/2022</t>
  </si>
  <si>
    <t>Xây dựng trường mầm non Hoa Hồng (hạng mục nhà học 8 phòng và hạng mục phụ trợ)</t>
  </si>
  <si>
    <t>BQL</t>
  </si>
  <si>
    <t>TT Sa Thầy</t>
  </si>
  <si>
    <t>2021-</t>
  </si>
  <si>
    <t>2631/QĐ-UBND
29/12/2020</t>
  </si>
  <si>
    <t>Trường Tiểu học -THCS Lê Quý Đôn (Nhà ăn, bếp và hạng mục phụ trợ)</t>
  </si>
  <si>
    <t>2628/QĐ-UBND
29/12/2020</t>
  </si>
  <si>
    <t>(2)</t>
  </si>
  <si>
    <t>Các dự án chuyển tiếp hoàn thành sau năm 2022</t>
  </si>
  <si>
    <t>Mở rộng đường Trần Hưng Đạo (Đoạn từ đường Cù Chính Lan đến Hạt Kiểm Lâm)</t>
  </si>
  <si>
    <t xml:space="preserve">TT Sa Thầy </t>
  </si>
  <si>
    <t>02/QĐ-UBND
04/01/2021</t>
  </si>
  <si>
    <t>Mở rộng đường Trần Hưng Đạo (Đoạn từ đường Bế Văn Đàn đến đường Lê Duẩn)</t>
  </si>
  <si>
    <t xml:space="preserve"> 05/QĐ-UBND
05/01/2021</t>
  </si>
  <si>
    <t>(3)</t>
  </si>
  <si>
    <t>Các dự án khởi công mới năm 2022</t>
  </si>
  <si>
    <t>Nâng cấp, sửa chữa trụ sở làm việc Huyện ủy Sa Thầy và các hạng mục phụ trợ</t>
  </si>
  <si>
    <t>VPHU</t>
  </si>
  <si>
    <t>2022-</t>
  </si>
  <si>
    <t>Phân cấp hỗ trợ xây dựng NTM (Ưu tiên đầu tư các công trình GD-ĐT)</t>
  </si>
  <si>
    <t>Trường TH - THCS xã Sa Sơn. Hạng mục: Nhà vệ sinh, cổng hàng rào và hạng mục phụ trợ</t>
  </si>
  <si>
    <t>Trường THCS Phan Đình Phùng (Hạng mục nhà học 08 phòng và hạng mục phụ trợ)</t>
  </si>
  <si>
    <t>I.3</t>
  </si>
  <si>
    <t>Phân cấp hỗ trợ đầu tư các công trình cấp bách</t>
  </si>
  <si>
    <t>Mở rộng đường Trần Hưng Đạo (đoạn từ đường Bế Văn Đàn đến ngõ 350)</t>
  </si>
  <si>
    <t>II.</t>
  </si>
  <si>
    <t>NGUỒN THU TIỀN SỬ DỤNG ĐẤT TRONG CÂN ĐỐI</t>
  </si>
  <si>
    <t xml:space="preserve">Dự án Đầu tư cơ sở hạ tầng phục vụ giãn dân tại làng Xộp, xã Mô Rai, huyện Sa Thầy </t>
  </si>
  <si>
    <t>2020-</t>
  </si>
  <si>
    <t>700/QĐ-UBND 
26/7/2020 
của UB tỉnh
39/NQ-HĐND
22/10/2021 của HĐ tỉnh</t>
  </si>
  <si>
    <t>Đầu tư kết cấu hạ tầng khu dân cư dọc tuyến đường Điện Biên Phủ và đường Trần Quốc Toản, thị trấn Sa Thầy</t>
  </si>
  <si>
    <t>136/QĐ-UBND
27/01/2021</t>
  </si>
  <si>
    <t>Đường giao thông từ trung tâm huyện Sa Thầy đến nhà máy thủy điện Ialy</t>
  </si>
  <si>
    <t>H. Sa Thầy</t>
  </si>
  <si>
    <t>674/QĐ-UBND
29/7/2021 tỉnh</t>
  </si>
  <si>
    <t xml:space="preserve">Các dự án khởi công mới năm 2022 </t>
  </si>
  <si>
    <t>Đầu tư kết cấu hạ tầng Điểm dân cư khu vực Hạt Kiểm lâm (cũ) và lân cận):</t>
  </si>
  <si>
    <t>Nguồn thu sử dụng đất trong cân đối được để lại cho cấp xã (để duy tu, sửa chữa, nâng cấp các công trình hạ tầng; hỗ trợ làm đường hẻm, đường giao thông nông thôn…)</t>
  </si>
  <si>
    <t xml:space="preserve">Xã Ya Xiêr </t>
  </si>
  <si>
    <t>(4)</t>
  </si>
  <si>
    <t>PTNMT</t>
  </si>
  <si>
    <t>PHÂN CẤP ĐẦU TƯ NGUỒN THU XSKT (ƯU TIÊN ĐẦU TƯ CÁC CÔNG TRÌNH GD-ĐT THỰC HIỆN CT MTQG XD NTM)</t>
  </si>
  <si>
    <t>Các dự án hoàn thành sau năm 2022</t>
  </si>
  <si>
    <t>Biểu số 46</t>
  </si>
  <si>
    <t>Lũy kế vốn đã bố trí đến 31/12/2021</t>
  </si>
  <si>
    <t xml:space="preserve">Ngân sách địa phương </t>
  </si>
  <si>
    <t>DANH MỤC CÁC CHƯƠNG TRÌNH, DỰ ÁN SỬ DỤNG VỐN NGÂN SÁCH NHÀ NƯỚC NĂM 2022</t>
  </si>
  <si>
    <t>TỔNG SỐ </t>
  </si>
  <si>
    <r>
      <t>Ghi chú:</t>
    </r>
    <r>
      <rPr>
        <i/>
        <sz val="11"/>
        <color indexed="63"/>
        <rFont val="Times New Roman"/>
        <family val="1"/>
      </rPr>
      <t> (1) Ngân sách xã không có nhiệm vụ chi bổ sung cân đối cho ngân sách cấp dưới.</t>
    </r>
  </si>
  <si>
    <t>Trong đó: Hỗ trợ từ NSĐP (nếu có)</t>
  </si>
  <si>
    <r>
      <t>Dự kiến dư nguồn đến ngày 31/12/… </t>
    </r>
    <r>
      <rPr>
        <sz val="11"/>
        <rFont val="Times New Roman"/>
        <family val="1"/>
      </rPr>
      <t>(năm sau)</t>
    </r>
  </si>
  <si>
    <r>
      <t>Ghi chú:</t>
    </r>
    <r>
      <rPr>
        <i/>
        <sz val="11"/>
        <color theme="1"/>
        <rFont val="Times New Roman"/>
        <family val="1"/>
      </rPr>
      <t> (1) Theo quy định tại Điều 7, Điều 11 Luật NSNN, ngân sách huyện không có thu từ quỹ dự trữ tài chính,
 bội chi NSĐP.</t>
    </r>
  </si>
  <si>
    <r>
      <t>Ghi chú: </t>
    </r>
    <r>
      <rPr>
        <i/>
        <sz val="11"/>
        <color theme="1"/>
        <rFont val="Times New Roman"/>
        <family val="1"/>
      </rPr>
      <t>(1) Thu ngân sách nhà nước trên địa bàn tỉnh chi tiết đến từng huyện; thu ngân sách nhà nước trên địa bàn huyện chi tiết đến từng xã.</t>
    </r>
  </si>
  <si>
    <r>
      <t> </t>
    </r>
    <r>
      <rPr>
        <b/>
        <sz val="11"/>
        <color theme="1"/>
        <rFont val="Times New Roman"/>
        <family val="1"/>
      </rPr>
      <t>Biểu mẫu số 34</t>
    </r>
  </si>
  <si>
    <t>Đơn vị</t>
  </si>
  <si>
    <r>
      <t xml:space="preserve">Chi đầu tư phát triển </t>
    </r>
    <r>
      <rPr>
        <sz val="11"/>
        <color theme="1"/>
        <rFont val="Times New Roman"/>
        <family val="1"/>
      </rPr>
      <t>(Không kể chương trình MTQG)</t>
    </r>
  </si>
  <si>
    <r>
      <t xml:space="preserve">Chi thường xuyên </t>
    </r>
    <r>
      <rPr>
        <sz val="11"/>
        <color theme="1"/>
        <rFont val="Times New Roman"/>
        <family val="1"/>
      </rPr>
      <t>(Không kể chương trình MTQG)</t>
    </r>
  </si>
  <si>
    <t>Khối lượng thực hiện từ khởi công đến 31/12/2021</t>
  </si>
  <si>
    <t>Hỗ trợ thưc hiện công tác giải phóng mặt bằng dự án xây dựng Trụ sở làm việc Công an huyện Sa Thầy</t>
  </si>
  <si>
    <t>Số dư nguồn đến ngày 31/12/2021</t>
  </si>
  <si>
    <t>Dư nguồn đến ngày 31/12/2020</t>
  </si>
  <si>
    <t>D</t>
  </si>
  <si>
    <t>(Kèm theo Nghị quyết số            /NQ-HĐND ngày 18 tháng 12 năm 2021 của Hội đồng nhân dân huyện Sa Thầy)</t>
  </si>
  <si>
    <t>Đơn vị tính: Triệu đồng</t>
  </si>
  <si>
    <t>Đơn vị tính: triệu đồng</t>
  </si>
  <si>
    <t>CÂN ĐỐI NGUỒN THU, CHI DỰ TOÁN NGÂN SÁCH CẤP HUYỆN VÀ NGÂN SÁCH XÃ NĂM 2022</t>
  </si>
  <si>
    <t>DỰ TOÁN THU, CHI NGÂN SÁCH ĐỊA PHƯƠNG VÀ SỐ BỔ SUNG CÂN ĐỐI TỪ NGÂN SÁCH CẤP TRÊN CHO NGÂN SÁCH CẤP DƯỚI NĂM 2022</t>
  </si>
  <si>
    <t>- Đối với dự án khởi công mới từ nguồn cân đối ngân sách địa phương 3.000 triệu đồng để thực hiện dự án Nâng cấp, sửa chữa trụ sở làm việc Huyện ủy Sa Thầy và các hạng mục phụ trợ giao Ủy ban nhân dân huyện giao Kế hoạch vốn và phân bổ chi tiết khi đảm bảo các thủ tục đầu tư theo đúng quy định.</t>
  </si>
  <si>
    <t>- Đối với các dự án khởi công mới từ nguồn thu sử dụng đất 17.400 triệu đồng, trong đó: Thực hiện dự án Nâng cấp, sửa chữa trụ sở làm việc Huyện ủy Sa Thầy và các hạng mục phụ trợ: 3.200 triệu đồng; Dự án Đầu tư kết cấu hạ tầng Điểm dân cư khu vực Hạt Kiểm lâm (cũ) và lân cận): 8.500 triệu đồng; Hỗ trợ thưc hiện công tác giải phóng mặt bằng dự án xây dựng Trụ sở làm việc Công an huyện Sa Thầy: 5.700 triệu đồng giao Ủy ban nhân dân huyện giao Kế hoạch vốn và phân bổ chi tiết khi đảm bảo các thủ tục đầu tư theo đúng quy định.</t>
  </si>
  <si>
    <t>- Đối với các dự án khởi công mới từ nguồn phân cấp cấp bách 2.500 triệu đồng để thực hiện dự án Mở rộng đường Trần Hưng Đạo (đoạn từ đường Bế Văn Đàn đến ngõ 350) giao Ủy ban nhân dân huyện giao Kế hoạch vốn và phân bổ chi tiết khi đảm bảo các thủ tục đầu tư theo đúng quy định.</t>
  </si>
  <si>
    <t>- Đối với  nguồn vốn hỗ trợ xây dựng nông thôn mới 2.330 triệu đồng và 770 triệu đồng nguồn phân cấp xổ số kiến thiết để đầu tư công trình Trường TH-THCS xã Sa Sơn. Hạng mục: Nhà vệ sinh, cổng hàng rào và hạng mục phụ trợ và công trìnhTrường THCS Phan Đình Phùng (Hạng mục nhà học 08 phòng và hạng mục phụ trợ) giao Ủy ban nhân dân huyện giao Kế hoạch vốn và phân bổ chi tiết khi đảm bảo thủ tục đầu tư theo đúng quy định.</t>
  </si>
  <si>
    <t xml:space="preserve"> Thực hiện Đề án 07-ĐA/HU ngày 25/10/2021 cải tạo vườn tạp trên địa bàn huyện giai đoạn 2021-2025 và các đề án khác </t>
  </si>
  <si>
    <t>Dự toán điều chỉnh</t>
  </si>
  <si>
    <t>Bao gồm:</t>
  </si>
  <si>
    <t>dự toán điều chỉnh</t>
  </si>
  <si>
    <t>Sự nghiệp giáo dục</t>
  </si>
  <si>
    <t>chi cân đối</t>
  </si>
  <si>
    <t>chi nguồn bsmt</t>
  </si>
  <si>
    <t>Mẫu biểu số 29.1/TT342</t>
  </si>
  <si>
    <t>Thực hiện năm 2020</t>
  </si>
  <si>
    <t xml:space="preserve">Dự toán năm 2022 </t>
  </si>
  <si>
    <t>Tỉnh giao 2021</t>
  </si>
  <si>
    <t xml:space="preserve">TỔNG THU NSNN TRÊN ĐỊA BÀN </t>
  </si>
  <si>
    <t>Thu từ hoạt động xuất khẩu, nhập khẩu</t>
  </si>
  <si>
    <t>Thu viện trợ không hoàn lại</t>
  </si>
  <si>
    <t xml:space="preserve">TỔNG THU NGÂN SÁCH ĐỊA PHƯƠNG </t>
  </si>
  <si>
    <t xml:space="preserve">Thu NSĐP được hưởng theo phân cấp </t>
  </si>
  <si>
    <t>Thu từ quỹ dự trữ tài chính</t>
  </si>
  <si>
    <t>Thu cấp dưới nộp lên</t>
  </si>
  <si>
    <t xml:space="preserve">Chi từ nguồn bổ sung có mục tiêu </t>
  </si>
  <si>
    <t>Chi nộp ngân sách cấp trên</t>
  </si>
  <si>
    <t>đt</t>
  </si>
  <si>
    <t>tx</t>
  </si>
  <si>
    <t>dp</t>
  </si>
  <si>
    <t>t cctl</t>
  </si>
  <si>
    <t>Dự toán giao tại Nghị quyết số 104/NQ-HĐND ngày 18/12/2021</t>
  </si>
  <si>
    <t>Xa Mô Rai</t>
  </si>
  <si>
    <t>Dự toán giao taị NQ số 104/NQ-HĐND ngày 18/12/2021</t>
  </si>
  <si>
    <t>6=7+8</t>
  </si>
  <si>
    <t>Dự toán giao tại NQ số 104/NQ-HĐND ngày 18/12/2021</t>
  </si>
  <si>
    <t>Hỗ trợ công tác giải phóng mặt bằng</t>
  </si>
  <si>
    <t>Cải cách tiền lương</t>
  </si>
  <si>
    <t>Trung tâm Bồi dưỡng chính trị</t>
  </si>
  <si>
    <t>Trung tâm Văn hóa - Thể thao - Du lịch và Truyền thông</t>
  </si>
  <si>
    <t>Trung tâm Môi trường và Dịch vụ đô thị</t>
  </si>
  <si>
    <t>Ban quản lý Dự án đầu tư xây dựng</t>
  </si>
  <si>
    <t xml:space="preserve">Ban quản lý Dự án đầu tư xây dựng </t>
  </si>
  <si>
    <t>Phòng Giáo dục &amp; Đào tạo</t>
  </si>
  <si>
    <t>Phòng Kinh tế - Hạ tầng</t>
  </si>
  <si>
    <t>Đơn vị quản lý Nhà nước</t>
  </si>
  <si>
    <t>Văn phòng Huyện ủy</t>
  </si>
  <si>
    <t xml:space="preserve">BQLDA ĐTXD huyện </t>
  </si>
</sst>
</file>

<file path=xl/styles.xml><?xml version="1.0" encoding="utf-8"?>
<styleSheet xmlns="http://schemas.openxmlformats.org/spreadsheetml/2006/main" xmlns:mc="http://schemas.openxmlformats.org/markup-compatibility/2006" xmlns:x14ac="http://schemas.microsoft.com/office/spreadsheetml/2009/9/ac" mc:Ignorable="x14ac">
  <numFmts count="15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0_);_(* \(#,##0.0\);_(* &quot;-&quot;??_);_(@_)"/>
    <numFmt numFmtId="167" formatCode="_(* #,##0_);_(* \(#,##0\);_(* &quot;-&quot;??_);_(@_)"/>
    <numFmt numFmtId="168" formatCode="_(* #,##0.000_);_(* \(#,##0.000\);_(* &quot;-&quot;??_);_(@_)"/>
    <numFmt numFmtId="169" formatCode="_-* #,##0\ _₫_-;\-* #,##0\ _₫_-;_-* &quot;-&quot;??\ _₫_-;_-@_-"/>
    <numFmt numFmtId="170" formatCode="_(* #,##0.000000_);_(* \(#,##0.000000\);_(* &quot;-&quot;??????_);_(@_)"/>
    <numFmt numFmtId="171" formatCode="0.000000"/>
    <numFmt numFmtId="172" formatCode="0.0%"/>
    <numFmt numFmtId="173" formatCode="_-* #,##0.0000\ _₫_-;\-* #,##0.0000\ _₫_-;_-* &quot;-&quot;????\ _₫_-;_-@_-"/>
    <numFmt numFmtId="174" formatCode="_(* #,##0.00_);_(* \(#,##0.00\);_(* \-??_);_(@_)"/>
    <numFmt numFmtId="175" formatCode="###,###,###"/>
    <numFmt numFmtId="176" formatCode="###,###,###.0"/>
    <numFmt numFmtId="177" formatCode="_(* #,##0.0_);_(* \(#,##0.0\);_(* &quot;-&quot;?_);_(@_)"/>
    <numFmt numFmtId="178" formatCode="_-* #,##0.000\ _₫_-;\-* #,##0.000\ _₫_-;_-* &quot;-&quot;???\ _₫_-;_-@_-"/>
    <numFmt numFmtId="179" formatCode="_(* #,##0.0000_);_(* \(#,##0.0000\);_(* &quot;-&quot;??_);_(@_)"/>
    <numFmt numFmtId="180" formatCode="#,##0.0"/>
    <numFmt numFmtId="181" formatCode="_-* #,##0_-;\-* #,##0_-;_-* &quot;-&quot;_-;_-@_-"/>
    <numFmt numFmtId="182" formatCode="_-* #,##0.0_-;\-* #,##0.0_-;_-* &quot;-&quot;_-;_-@_-"/>
    <numFmt numFmtId="183" formatCode="_-&quot;€&quot;* #,##0_-;\-&quot;€&quot;* #,##0_-;_-&quot;€&quot;* &quot;-&quot;_-;_-@_-"/>
    <numFmt numFmtId="184" formatCode="_(* #,##0_);_(* \(#,##0\);_(* \-??_);_(@_)"/>
    <numFmt numFmtId="185" formatCode="&quot;\&quot;#,##0.00;[Red]&quot;\&quot;&quot;\&quot;&quot;\&quot;&quot;\&quot;&quot;\&quot;&quot;\&quot;\-#,##0.00"/>
    <numFmt numFmtId="186" formatCode="&quot;€&quot;###,0&quot;.&quot;00_);\(&quot;€&quot;###,0&quot;.&quot;00\)"/>
    <numFmt numFmtId="187" formatCode="&quot;\&quot;#,##0;[Red]&quot;\&quot;&quot;\&quot;\-#,##0"/>
    <numFmt numFmtId="188" formatCode="_-&quot;£&quot;* #,##0_-;\-&quot;£&quot;* #,##0_-;_-&quot;£&quot;* &quot;-&quot;_-;_-@_-"/>
    <numFmt numFmtId="189" formatCode="_-&quot;£&quot;* #,##0.00_-;\-&quot;£&quot;* #,##0.00_-;_-&quot;£&quot;* &quot;-&quot;??_-;_-@_-"/>
    <numFmt numFmtId="190" formatCode="#.##00"/>
    <numFmt numFmtId="191" formatCode="_-* #,##0.00_-;\-* #,##0.00_-;_-* &quot;-&quot;??_-;_-@_-"/>
    <numFmt numFmtId="192" formatCode="_-&quot;$&quot;* #,##0_-;\-&quot;$&quot;* #,##0_-;_-&quot;$&quot;* &quot;-&quot;_-;_-@_-"/>
    <numFmt numFmtId="193" formatCode="_-* #,##0\ &quot;€&quot;_-;\-* #,##0\ &quot;€&quot;_-;_-* &quot;-&quot;\ &quot;€&quot;_-;_-@_-"/>
    <numFmt numFmtId="194" formatCode="_-* #,##0\ _F_-;\-* #,##0\ _F_-;_-* &quot;-&quot;\ _F_-;_-@_-"/>
    <numFmt numFmtId="195" formatCode="_-* #,##0\ &quot;F&quot;_-;\-* #,##0\ &quot;F&quot;_-;_-* &quot;-&quot;\ &quot;F&quot;_-;_-@_-"/>
    <numFmt numFmtId="196" formatCode="_-* #,##0&quot;$&quot;_-;_-* #,##0&quot;$&quot;\-;_-* &quot;-&quot;&quot;$&quot;_-;_-@_-"/>
    <numFmt numFmtId="197" formatCode="_-* #,##0\ &quot;$&quot;_-;\-* #,##0\ &quot;$&quot;_-;_-* &quot;-&quot;\ &quot;$&quot;_-;_-@_-"/>
    <numFmt numFmtId="198" formatCode="_-* #,##0_-;\-* #,##0_-;_-* &quot;-&quot;??_-;_-@_-"/>
    <numFmt numFmtId="199" formatCode="_-&quot;$&quot;* #,##0.00_-;\-&quot;$&quot;* #,##0.00_-;_-&quot;$&quot;* &quot;-&quot;??_-;_-@_-"/>
    <numFmt numFmtId="200" formatCode="_-&quot;ñ&quot;* #,##0_-;\-&quot;ñ&quot;* #,##0_-;_-&quot;ñ&quot;* &quot;-&quot;_-;_-@_-"/>
    <numFmt numFmtId="201" formatCode="0.0000"/>
    <numFmt numFmtId="202" formatCode="_-* ###,0&quot;.&quot;00_-;\-* ###,0&quot;.&quot;00_-;_-* &quot;-&quot;??_-;_-@_-"/>
    <numFmt numFmtId="203" formatCode="_ * #,##0.00_ ;_ * \-#,##0.00_ ;_ * &quot;-&quot;??_ ;_ @_ "/>
    <numFmt numFmtId="204" formatCode="_-* #,##0.00\ _V_N_D_-;\-* #,##0.00\ _V_N_D_-;_-* &quot;-&quot;??\ _V_N_D_-;_-@_-"/>
    <numFmt numFmtId="205" formatCode="_-* #,##0.00\ _F_-;\-* #,##0.00\ _F_-;_-* &quot;-&quot;??\ _F_-;_-@_-"/>
    <numFmt numFmtId="206" formatCode="_-* #,##0.00\ _V_N_Ñ_-;_-* #,##0.00\ _V_N_Ñ\-;_-* &quot;-&quot;??\ _V_N_Ñ_-;_-@_-"/>
    <numFmt numFmtId="207" formatCode="_-* #,##0.00\ _€_-;\-* #,##0.00\ _€_-;_-* &quot;-&quot;??\ _€_-;_-@_-"/>
    <numFmt numFmtId="208" formatCode="_-* #,##0.00_$_-;_-* #,##0.00_$\-;_-* &quot;-&quot;??_$_-;_-@_-"/>
    <numFmt numFmtId="209" formatCode="_(* ###,0&quot;.&quot;00_);_(* \(###,0&quot;.&quot;00\);_(* &quot;-&quot;??_);_(@_)"/>
    <numFmt numFmtId="210" formatCode="&quot;£&quot;#,##0;[Red]\-&quot;£&quot;#,##0"/>
    <numFmt numFmtId="211" formatCode="_-* #,##0.00\ _ñ_-;\-* #,##0.00\ _ñ_-;_-* &quot;-&quot;??\ _ñ_-;_-@_-"/>
    <numFmt numFmtId="212" formatCode="0.00000"/>
    <numFmt numFmtId="213" formatCode="#,##0.00\ &quot;F&quot;;\-#,##0.00\ &quot;F&quot;"/>
    <numFmt numFmtId="214" formatCode="_(&quot;£&quot;\ * #,##0_);_(&quot;£&quot;\ * \(#,##0\);_(&quot;£&quot;\ * &quot;-&quot;_);_(@_)"/>
    <numFmt numFmtId="215" formatCode="&quot;$&quot;#,##0;[Red]\-&quot;$&quot;#,##0"/>
    <numFmt numFmtId="216" formatCode="_(&quot;$&quot;\ * #,##0_);_(&quot;$&quot;\ * \(#,##0\);_(&quot;$&quot;\ * &quot;-&quot;_);_(@_)"/>
    <numFmt numFmtId="217" formatCode="&quot;$&quot;#,##0.00;[Red]\-&quot;$&quot;#,##0.00"/>
    <numFmt numFmtId="218" formatCode="_-* #,##0\ &quot;ñ&quot;_-;\-* #,##0\ &quot;ñ&quot;_-;_-* &quot;-&quot;\ &quot;ñ&quot;_-;_-@_-"/>
    <numFmt numFmtId="219" formatCode="0.0000000"/>
    <numFmt numFmtId="220" formatCode="_(&quot;€&quot;* #,##0_);_(&quot;€&quot;* \(#,##0\);_(&quot;€&quot;* &quot;-&quot;_);_(@_)"/>
    <numFmt numFmtId="221" formatCode="_ * #,##0_ ;_ * \-#,##0_ ;_ * &quot;-&quot;_ ;_ @_ "/>
    <numFmt numFmtId="222" formatCode="_-* #,##0\ _V_N_D_-;\-* #,##0\ _V_N_D_-;_-* &quot;-&quot;\ _V_N_D_-;_-@_-"/>
    <numFmt numFmtId="223" formatCode="_-* #,##0\ _V_N_Ñ_-;_-* #,##0\ _V_N_Ñ\-;_-* &quot;-&quot;\ _V_N_Ñ_-;_-@_-"/>
    <numFmt numFmtId="224" formatCode="_-* #,##0\ _€_-;\-* #,##0\ _€_-;_-* &quot;-&quot;\ _€_-;_-@_-"/>
    <numFmt numFmtId="225" formatCode="_-* #,##0_$_-;_-* #,##0_$\-;_-* &quot;-&quot;_$_-;_-@_-"/>
    <numFmt numFmtId="226" formatCode="_-* #,##0\ _$_-;\-* #,##0\ _$_-;_-* &quot;-&quot;\ _$_-;_-@_-"/>
    <numFmt numFmtId="227" formatCode="_-* #,##0\ _m_k_-;\-* #,##0\ _m_k_-;_-* &quot;-&quot;\ _m_k_-;_-@_-"/>
    <numFmt numFmtId="228" formatCode="&quot;£&quot;#,##0;\-&quot;£&quot;#,##0"/>
    <numFmt numFmtId="229" formatCode="_-* #,##0\ _ñ_-;\-* #,##0\ _ñ_-;_-* &quot;-&quot;\ _ñ_-;_-@_-"/>
    <numFmt numFmtId="230" formatCode="#,##0.0_);[Red]\(#,##0.0\)"/>
    <numFmt numFmtId="231" formatCode="_ &quot;\&quot;* #,##0_ ;_ &quot;\&quot;* \-#,##0_ ;_ &quot;\&quot;* &quot;-&quot;_ ;_ @_ "/>
    <numFmt numFmtId="232" formatCode="&quot;\&quot;#,##0.00;[Red]&quot;\&quot;\-#,##0.00"/>
    <numFmt numFmtId="233" formatCode="&quot;\&quot;#,##0;[Red]&quot;\&quot;\-#,##0"/>
    <numFmt numFmtId="234" formatCode="&quot;SFr.&quot;\ #,##0.00;[Red]&quot;SFr.&quot;\ \-#,##0.00"/>
    <numFmt numFmtId="235" formatCode="_ &quot;SFr.&quot;\ * #,##0_ ;_ &quot;SFr.&quot;\ * \-#,##0_ ;_ &quot;SFr.&quot;\ * &quot;-&quot;_ ;_ @_ "/>
    <numFmt numFmtId="236" formatCode="_ &quot;\&quot;* #,##0.00_ ;_ &quot;\&quot;* \-#,##0.00_ ;_ &quot;\&quot;* &quot;-&quot;??_ ;_ @_ "/>
    <numFmt numFmtId="237" formatCode="0.000"/>
    <numFmt numFmtId="238" formatCode="#,##0.0_);\(#,##0.0\)"/>
    <numFmt numFmtId="239" formatCode="0.0%;[Red]\(0.0%\)"/>
    <numFmt numFmtId="240" formatCode="_ * #,##0.00_)&quot;£&quot;_ ;_ * \(#,##0.00\)&quot;£&quot;_ ;_ * &quot;-&quot;??_)&quot;£&quot;_ ;_ @_ "/>
    <numFmt numFmtId="241" formatCode="0.0%;\(0.0%\)"/>
    <numFmt numFmtId="242" formatCode="_-* #,##0.00\ &quot;F&quot;_-;\-* #,##0.00\ &quot;F&quot;_-;_-* &quot;-&quot;??\ &quot;F&quot;_-;_-@_-"/>
    <numFmt numFmtId="243" formatCode="0.000_)"/>
    <numFmt numFmtId="244" formatCode="_(* #,##0_);_(* \(#,##0\);_(* \-_);_(@_)"/>
    <numFmt numFmtId="245" formatCode="_-* #,##0.0\ _₫_-;\-* #,##0.0\ _₫_-;_-* &quot;-&quot;??\ _₫_-;_-@_-"/>
    <numFmt numFmtId="246" formatCode="#,##0.00;[Red]#,##0.00"/>
    <numFmt numFmtId="247" formatCode="_(* #,##0.000_);_(* \(#,##0.000\);_(* &quot;-&quot;???_);_(@_)"/>
    <numFmt numFmtId="248" formatCode="&quot;C&quot;#,##0.00_);\(&quot;C&quot;#,##0.00\)"/>
    <numFmt numFmtId="249" formatCode="#,##0;\(#,##0\)"/>
    <numFmt numFmtId="250" formatCode="_ &quot;R&quot;\ * #,##0_ ;_ &quot;R&quot;\ * \-#,##0_ ;_ &quot;R&quot;\ * &quot;-&quot;_ ;_ @_ "/>
    <numFmt numFmtId="251" formatCode="_ &quot;\&quot;* #,##0.00_ ;_ &quot;\&quot;* &quot;\&quot;&quot;\&quot;&quot;\&quot;&quot;\&quot;&quot;\&quot;&quot;\&quot;&quot;\&quot;&quot;\&quot;&quot;\&quot;\-#,##0.00_ ;_ &quot;\&quot;* &quot;-&quot;??_ ;_ @_ "/>
    <numFmt numFmtId="252" formatCode="\$#,##0\ ;\(\$#,##0\)"/>
    <numFmt numFmtId="253" formatCode="#,##0.000_);\(#,##0.000\)"/>
    <numFmt numFmtId="254" formatCode="_-* #,##0.0000\ _F_-;\-* #,##0.0000\ _F_-;_-* &quot;-&quot;??\ _F_-;_-@_-"/>
    <numFmt numFmtId="255" formatCode="&quot;C&quot;#,##0_);\(&quot;C&quot;#,##0\)"/>
    <numFmt numFmtId="256" formatCode="\t0.00%"/>
    <numFmt numFmtId="257" formatCode="?\,???.??__;[Red]&quot;- &quot;?\,???.??__"/>
    <numFmt numFmtId="258" formatCode="?,???.??__;[Red]\-\ ?,???.??__;"/>
    <numFmt numFmtId="259" formatCode="\U\S\$#,##0.00;\(\U\S\$#,##0.00\)"/>
    <numFmt numFmtId="260" formatCode="_(\§\g\ #,##0_);_(\§\g\ \(#,##0\);_(\§\g\ &quot;-&quot;??_);_(@_)"/>
    <numFmt numFmtId="261" formatCode="_(\§\g\ #,##0_);_(\§\g\ \(#,##0\);_(\§\g\ &quot;-&quot;_);_(@_)"/>
    <numFmt numFmtId="262" formatCode="&quot;C&quot;#,##0_);[Red]\(&quot;C&quot;#,##0\)"/>
    <numFmt numFmtId="263" formatCode="\t#\ ??/??"/>
    <numFmt numFmtId="264" formatCode="\§\g#,##0_);\(\§\g#,##0\)"/>
    <numFmt numFmtId="265" formatCode="_-&quot;VND&quot;* #,##0_-;\-&quot;VND&quot;* #,##0_-;_-&quot;VND&quot;* &quot;-&quot;_-;_-@_-"/>
    <numFmt numFmtId="266" formatCode="_(&quot;Rp&quot;* #,##0.00_);_(&quot;Rp&quot;* \(#,##0.00\);_(&quot;Rp&quot;* &quot;-&quot;??_);_(@_)"/>
    <numFmt numFmtId="267" formatCode="#,##0.00\ &quot;FB&quot;;[Red]\-#,##0.00\ &quot;FB&quot;"/>
    <numFmt numFmtId="268" formatCode="#,##0\ &quot;$&quot;;\-#,##0\ &quot;$&quot;"/>
    <numFmt numFmtId="269" formatCode="&quot;$&quot;#,##0;\-&quot;$&quot;#,##0"/>
    <numFmt numFmtId="270" formatCode="_-* #,##0\ _F_B_-;\-* #,##0\ _F_B_-;_-* &quot;-&quot;\ _F_B_-;_-@_-"/>
    <numFmt numFmtId="271" formatCode="_-[$€-2]* #,##0.00_-;\-[$€-2]* #,##0.00_-;_-[$€-2]* &quot;-&quot;??_-"/>
    <numFmt numFmtId="272" formatCode="_-[$€]* #,##0.00_-;\-[$€]* #,##0.00_-;_-[$€]* &quot;-&quot;??_-;_-@_-"/>
    <numFmt numFmtId="273" formatCode="&quot;öS&quot;\ #,##0;[Red]\-&quot;öS&quot;\ #,##0"/>
    <numFmt numFmtId="274" formatCode="&quot;Q&quot;#,##0_);\(&quot;Q&quot;#,##0\)"/>
    <numFmt numFmtId="275" formatCode="#,##0_);\-#,##0_)"/>
    <numFmt numFmtId="276" formatCode="#,###;\-#,###;&quot;&quot;;_(@_)"/>
    <numFmt numFmtId="277" formatCode="#,##0\ &quot;$&quot;_);\(#,##0\ &quot;$&quot;\)"/>
    <numFmt numFmtId="278" formatCode="#,##0_ ;[Red]\-#,##0\ "/>
    <numFmt numFmtId="279" formatCode="#,##0\ &quot;$&quot;_);[Red]\(#,##0\ &quot;$&quot;\)"/>
    <numFmt numFmtId="280" formatCode="&quot;$&quot;###,0&quot;.&quot;00_);[Red]\(&quot;$&quot;###,0&quot;.&quot;00\)"/>
    <numFmt numFmtId="281" formatCode="&quot;\&quot;#,##0;[Red]\-&quot;\&quot;#,##0"/>
    <numFmt numFmtId="282" formatCode="&quot;\&quot;#,##0.00;\-&quot;\&quot;#,##0.00"/>
    <numFmt numFmtId="283" formatCode="_ * #,##0_)\ &quot;$&quot;_ ;_ * \(#,##0\)\ &quot;$&quot;_ ;_ * &quot;-&quot;_)\ &quot;$&quot;_ ;_ @_ "/>
    <numFmt numFmtId="284" formatCode="&quot;VND&quot;#,##0_);[Red]\(&quot;VND&quot;#,##0\)"/>
    <numFmt numFmtId="285" formatCode="_ * #,##0_)&quot; $&quot;_ ;_ * \(#,##0&quot;) $&quot;_ ;_ * \-_)&quot; $&quot;_ ;_ @_ "/>
    <numFmt numFmtId="286" formatCode="#,##0.00_);\-#,##0.00_)"/>
    <numFmt numFmtId="287" formatCode="#"/>
    <numFmt numFmtId="288" formatCode="#,##0.0000"/>
    <numFmt numFmtId="289" formatCode="&quot;¡Ì&quot;#,##0;[Red]\-&quot;¡Ì&quot;#,##0"/>
    <numFmt numFmtId="290" formatCode="#,##0.00\ &quot;F&quot;;[Red]\-#,##0.00\ &quot;F&quot;"/>
    <numFmt numFmtId="291" formatCode="#,##0.00&quot; F&quot;;[Red]\-#,##0.00&quot; F&quot;"/>
    <numFmt numFmtId="292" formatCode="_-* #,##0.0\ _F_-;\-* #,##0.0\ _F_-;_-* &quot;-&quot;??\ _F_-;_-@_-"/>
    <numFmt numFmtId="293" formatCode="#,##0.00\ \ "/>
    <numFmt numFmtId="294" formatCode="0.00000000"/>
    <numFmt numFmtId="295" formatCode="_ * #,##0.0_ ;_ * \-#,##0.0_ ;_ * &quot;-&quot;??_ ;_ @_ "/>
    <numFmt numFmtId="296" formatCode="#,##0.00\ \ \ \ "/>
    <numFmt numFmtId="297" formatCode="_(* #.##0.00_);_(* \(#.##0.00\);_(* &quot;-&quot;??_);_(@_)"/>
    <numFmt numFmtId="298" formatCode="###\ ###\ ##0"/>
    <numFmt numFmtId="299" formatCode="&quot;\&quot;#,##0;&quot;\&quot;\-#,##0"/>
    <numFmt numFmtId="300" formatCode="_-* ###,0&quot;.&quot;00\ _F_B_-;\-* ###,0&quot;.&quot;00\ _F_B_-;_-* &quot;-&quot;??\ _F_B_-;_-@_-"/>
    <numFmt numFmtId="301" formatCode="\\#,##0;[Red]&quot;-\&quot;#,##0"/>
    <numFmt numFmtId="302" formatCode="_ * #.##._ ;_ * \-#.##._ ;_ * &quot;-&quot;??_ ;_ @_ⴆ"/>
    <numFmt numFmtId="303" formatCode="#,##0\ &quot;F&quot;;\-#,##0\ &quot;F&quot;"/>
    <numFmt numFmtId="304" formatCode="#,##0\ &quot;F&quot;;[Red]\-#,##0\ &quot;F&quot;"/>
    <numFmt numFmtId="305" formatCode="_-* #,##0\ _F_-;\-* #,##0\ _F_-;_-* &quot;-&quot;??\ _F_-;_-@_-"/>
    <numFmt numFmtId="306" formatCode="#,###"/>
    <numFmt numFmtId="307" formatCode="0.000\ "/>
    <numFmt numFmtId="308" formatCode="#,##0\ &quot;Lt&quot;;[Red]\-#,##0\ &quot;Lt&quot;"/>
    <numFmt numFmtId="309" formatCode="_-* #,##0\ &quot;DM&quot;_-;\-* #,##0\ &quot;DM&quot;_-;_-* &quot;-&quot;\ &quot;DM&quot;_-;_-@_-"/>
    <numFmt numFmtId="310" formatCode="_-* #,##0.00\ &quot;DM&quot;_-;\-* #,##0.00\ &quot;DM&quot;_-;_-* &quot;-&quot;??\ &quot;DM&quot;_-;_-@_-"/>
    <numFmt numFmtId="311" formatCode="#,##0.000"/>
    <numFmt numFmtId="312" formatCode="#,##0.00_ ;\-#,##0.00\ "/>
  </numFmts>
  <fonts count="240">
    <font>
      <sz val="11"/>
      <color theme="1"/>
      <name val="Calibri"/>
      <family val="2"/>
      <charset val="163"/>
      <scheme val="minor"/>
    </font>
    <font>
      <sz val="11"/>
      <color theme="1"/>
      <name val="Calibri"/>
      <family val="2"/>
      <scheme val="minor"/>
    </font>
    <font>
      <sz val="11"/>
      <color theme="1"/>
      <name val="Calibri"/>
      <family val="2"/>
      <scheme val="minor"/>
    </font>
    <font>
      <sz val="9"/>
      <color indexed="81"/>
      <name val="Tahoma"/>
      <family val="2"/>
      <charset val="163"/>
    </font>
    <font>
      <b/>
      <sz val="9"/>
      <color indexed="81"/>
      <name val="Tahoma"/>
      <family val="2"/>
      <charset val="163"/>
    </font>
    <font>
      <sz val="11"/>
      <color indexed="8"/>
      <name val="Arial"/>
      <family val="2"/>
      <charset val="163"/>
    </font>
    <font>
      <sz val="10"/>
      <name val="Arial"/>
      <family val="2"/>
    </font>
    <font>
      <sz val="10"/>
      <name val="Times New Roman"/>
      <family val="1"/>
    </font>
    <font>
      <sz val="11"/>
      <name val="Times New Roman"/>
      <family val="1"/>
    </font>
    <font>
      <b/>
      <sz val="10"/>
      <name val="Times New Roman"/>
      <family val="1"/>
    </font>
    <font>
      <sz val="9"/>
      <color indexed="81"/>
      <name val="Tahoma"/>
      <family val="2"/>
    </font>
    <font>
      <b/>
      <sz val="9"/>
      <color indexed="81"/>
      <name val="Tahoma"/>
      <family val="2"/>
    </font>
    <font>
      <sz val="11"/>
      <color indexed="8"/>
      <name val="Times New Roman"/>
      <family val="1"/>
    </font>
    <font>
      <sz val="12"/>
      <name val=".VnArial Narrow"/>
      <family val="2"/>
    </font>
    <font>
      <b/>
      <sz val="11"/>
      <name val="Times New Roman"/>
      <family val="1"/>
    </font>
    <font>
      <sz val="12"/>
      <name val=".VnTime"/>
      <family val="2"/>
    </font>
    <font>
      <sz val="8"/>
      <name val="Arial"/>
      <family val="2"/>
      <charset val="163"/>
    </font>
    <font>
      <sz val="13"/>
      <color theme="1"/>
      <name val="Times New Roman"/>
      <family val="2"/>
    </font>
    <font>
      <sz val="9"/>
      <name val="Times New Roman"/>
      <family val="1"/>
    </font>
    <font>
      <i/>
      <sz val="11"/>
      <name val="Times New Roman"/>
      <family val="1"/>
    </font>
    <font>
      <sz val="11"/>
      <color theme="1"/>
      <name val="Times New Roman"/>
      <family val="1"/>
    </font>
    <font>
      <b/>
      <sz val="11"/>
      <color theme="1"/>
      <name val="Times New Roman"/>
      <family val="1"/>
    </font>
    <font>
      <sz val="11"/>
      <color indexed="63"/>
      <name val="Times New Roman"/>
      <family val="1"/>
    </font>
    <font>
      <b/>
      <sz val="9"/>
      <name val="Times New Roman"/>
      <family val="1"/>
    </font>
    <font>
      <i/>
      <sz val="9"/>
      <name val="Times New Roman"/>
      <family val="1"/>
    </font>
    <font>
      <i/>
      <sz val="11"/>
      <color theme="1"/>
      <name val="Times New Roman"/>
      <family val="1"/>
    </font>
    <font>
      <i/>
      <sz val="11"/>
      <color indexed="63"/>
      <name val="Times New Roman"/>
      <family val="1"/>
    </font>
    <font>
      <b/>
      <i/>
      <sz val="11"/>
      <color indexed="63"/>
      <name val="Times New Roman"/>
      <family val="1"/>
    </font>
    <font>
      <b/>
      <sz val="11"/>
      <color theme="1"/>
      <name val="Times New Roman"/>
      <family val="1"/>
      <charset val="163"/>
    </font>
    <font>
      <b/>
      <i/>
      <sz val="11"/>
      <color theme="1"/>
      <name val="Times New Roman"/>
      <family val="1"/>
    </font>
    <font>
      <b/>
      <sz val="10"/>
      <color theme="1"/>
      <name val="Times New Roman"/>
      <family val="1"/>
    </font>
    <font>
      <sz val="9"/>
      <color theme="1"/>
      <name val="Times New Roman"/>
      <family val="1"/>
    </font>
    <font>
      <i/>
      <sz val="9"/>
      <color theme="1"/>
      <name val="Times New Roman"/>
      <family val="1"/>
    </font>
    <font>
      <b/>
      <sz val="9"/>
      <color theme="1"/>
      <name val="Times New Roman"/>
      <family val="1"/>
    </font>
    <font>
      <sz val="10"/>
      <color theme="1"/>
      <name val="Times New Roman"/>
      <family val="1"/>
    </font>
    <font>
      <i/>
      <sz val="10"/>
      <color theme="1"/>
      <name val="Times New Roman"/>
      <family val="1"/>
    </font>
    <font>
      <b/>
      <i/>
      <sz val="10"/>
      <color theme="1"/>
      <name val="Times New Roman"/>
      <family val="1"/>
    </font>
    <font>
      <sz val="9"/>
      <color theme="1"/>
      <name val="Times New Roman"/>
      <family val="1"/>
      <charset val="163"/>
    </font>
    <font>
      <sz val="11"/>
      <color theme="1"/>
      <name val="Times New Roman"/>
      <family val="1"/>
      <charset val="163"/>
    </font>
    <font>
      <i/>
      <sz val="11"/>
      <color theme="1"/>
      <name val="Times New Roman"/>
      <family val="1"/>
      <charset val="163"/>
    </font>
    <font>
      <i/>
      <sz val="11"/>
      <name val="Times New Roman"/>
      <family val="1"/>
      <charset val="163"/>
    </font>
    <font>
      <i/>
      <sz val="10"/>
      <color theme="1"/>
      <name val="Times New Roman"/>
      <family val="1"/>
      <charset val="163"/>
    </font>
    <font>
      <sz val="10"/>
      <color rgb="FFFF0000"/>
      <name val="Times New Roman"/>
      <family val="1"/>
      <charset val="163"/>
    </font>
    <font>
      <sz val="11"/>
      <color theme="1"/>
      <name val="Calibri"/>
      <family val="2"/>
      <charset val="163"/>
      <scheme val="minor"/>
    </font>
    <font>
      <sz val="11"/>
      <color indexed="8"/>
      <name val="times new roman"/>
      <family val="2"/>
      <charset val="163"/>
    </font>
    <font>
      <sz val="8"/>
      <name val="Times New Roman"/>
      <family val="1"/>
    </font>
    <font>
      <sz val="11"/>
      <color theme="1"/>
      <name val="times new roman"/>
      <family val="2"/>
      <charset val="163"/>
    </font>
    <font>
      <sz val="12"/>
      <name val="VNI-Times"/>
    </font>
    <font>
      <sz val="12"/>
      <name val="돋움체"/>
      <family val="3"/>
      <charset val="129"/>
    </font>
    <font>
      <sz val="12"/>
      <name val="VNtimes new roman"/>
      <family val="2"/>
    </font>
    <font>
      <sz val="12"/>
      <name val="Arial Narrow"/>
      <family val="2"/>
    </font>
    <font>
      <sz val="10"/>
      <name val=".VnTime"/>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1"/>
      <name val="VNI-Aptima"/>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sz val="11"/>
      <color indexed="8"/>
      <name val="Calibri"/>
      <family val="2"/>
    </font>
    <font>
      <b/>
      <sz val="12"/>
      <color indexed="8"/>
      <name val=".VnBook-Antiqua"/>
      <family val="2"/>
    </font>
    <font>
      <i/>
      <sz val="12"/>
      <color indexed="8"/>
      <name val=".VnBook-Antiqua"/>
      <family val="2"/>
    </font>
    <font>
      <sz val="12"/>
      <color indexed="9"/>
      <name val="Arial Narrow"/>
      <family val="2"/>
    </font>
    <font>
      <sz val="11"/>
      <color indexed="9"/>
      <name val="Calibri"/>
      <family val="2"/>
    </font>
    <font>
      <sz val="14"/>
      <name val=".VnTime"/>
      <family val="2"/>
    </font>
    <font>
      <sz val="12"/>
      <name val="¹UAAA¼"/>
      <family val="3"/>
      <charset val="129"/>
    </font>
    <font>
      <sz val="11"/>
      <name val="±¼¸²Ã¼"/>
      <family val="3"/>
      <charset val="129"/>
    </font>
    <font>
      <b/>
      <sz val="12"/>
      <color indexed="63"/>
      <name val="VNI-Times"/>
    </font>
    <font>
      <sz val="12"/>
      <name val="¹ÙÅÁÃ¼"/>
      <charset val="129"/>
    </font>
    <font>
      <sz val="12"/>
      <color indexed="20"/>
      <name val="Arial Narrow"/>
      <family val="2"/>
    </font>
    <font>
      <sz val="12"/>
      <name val="Tms Rmn"/>
    </font>
    <font>
      <sz val="12"/>
      <name val="µ¸¿òÃ¼"/>
      <family val="3"/>
      <charset val="129"/>
    </font>
    <font>
      <sz val="10"/>
      <name val="±¼¸²A¼"/>
      <family val="3"/>
      <charset val="129"/>
    </font>
    <font>
      <sz val="10"/>
      <name val="Arial"/>
      <family val="2"/>
      <charset val="163"/>
    </font>
    <font>
      <sz val="10"/>
      <name val="Helv"/>
    </font>
    <font>
      <b/>
      <sz val="12"/>
      <color indexed="52"/>
      <name val="Arial Narrow"/>
      <family val="2"/>
    </font>
    <font>
      <b/>
      <sz val="10"/>
      <name val="Helv"/>
    </font>
    <font>
      <b/>
      <sz val="12"/>
      <color indexed="9"/>
      <name val="Arial Narrow"/>
      <family val="2"/>
    </font>
    <font>
      <sz val="10"/>
      <name val=".VnArial"/>
      <family val="2"/>
    </font>
    <font>
      <sz val="11"/>
      <name val="VNbook-Antiqua"/>
      <family val="2"/>
    </font>
    <font>
      <sz val="10"/>
      <name val="VNI-Aptima"/>
    </font>
    <font>
      <sz val="11"/>
      <name val="VNtimes new roman"/>
      <family val="2"/>
    </font>
    <font>
      <sz val="11"/>
      <name val="Tms Rmn"/>
    </font>
    <font>
      <sz val="12"/>
      <name val="Times New Roman"/>
      <family val="1"/>
    </font>
    <font>
      <sz val="12"/>
      <color indexed="8"/>
      <name val="Times New Roman"/>
      <family val="2"/>
    </font>
    <font>
      <sz val="11"/>
      <color indexed="8"/>
      <name val="Calibri"/>
      <family val="2"/>
      <charset val="163"/>
    </font>
    <font>
      <sz val="10"/>
      <color indexed="8"/>
      <name val="Times New Roman"/>
      <family val="2"/>
      <charset val="163"/>
    </font>
    <font>
      <sz val="10"/>
      <name val="BERNHARD"/>
    </font>
    <font>
      <b/>
      <sz val="12"/>
      <name val="VNTime"/>
      <family val="2"/>
    </font>
    <font>
      <sz val="10"/>
      <name val="MS Serif"/>
      <family val="1"/>
    </font>
    <font>
      <sz val="14"/>
      <name val="Times New Roman"/>
      <family val="1"/>
    </font>
    <font>
      <b/>
      <sz val="11"/>
      <color indexed="63"/>
      <name val="Calibri"/>
      <family val="2"/>
    </font>
    <font>
      <sz val="11"/>
      <color indexed="62"/>
      <name val="Calibri"/>
      <family val="2"/>
    </font>
    <font>
      <b/>
      <sz val="12"/>
      <name val="VNTimeH"/>
      <family val="2"/>
    </font>
    <font>
      <b/>
      <sz val="15"/>
      <color indexed="56"/>
      <name val="Calibri"/>
      <family val="2"/>
    </font>
    <font>
      <b/>
      <sz val="13"/>
      <color indexed="56"/>
      <name val="Calibri"/>
      <family val="2"/>
    </font>
    <font>
      <b/>
      <sz val="11"/>
      <color indexed="56"/>
      <name val="Calibri"/>
      <family val="2"/>
    </font>
    <font>
      <sz val="1"/>
      <color indexed="8"/>
      <name val="Courier"/>
      <family val="1"/>
    </font>
    <font>
      <sz val="10"/>
      <name val="Arial CE"/>
      <charset val="238"/>
    </font>
    <font>
      <b/>
      <sz val="1"/>
      <color indexed="8"/>
      <name val="Courier"/>
      <family val="1"/>
    </font>
    <font>
      <sz val="10"/>
      <color indexed="16"/>
      <name val="MS Serif"/>
      <family val="1"/>
    </font>
    <font>
      <sz val="14"/>
      <name val="VNtimes new roman"/>
      <family val="2"/>
    </font>
    <font>
      <sz val="10"/>
      <color indexed="8"/>
      <name val="Arial"/>
      <family val="2"/>
      <charset val="1"/>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amily val="2"/>
    </font>
    <font>
      <sz val="12"/>
      <name val="VNTime"/>
      <family val="2"/>
    </font>
    <font>
      <sz val="12"/>
      <color indexed="17"/>
      <name val="Arial Narrow"/>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1"/>
      <color indexed="9"/>
      <name val="Calibri"/>
      <family val="2"/>
    </font>
    <font>
      <b/>
      <sz val="14"/>
      <name val=".VnArialH"/>
      <family val="2"/>
    </font>
    <font>
      <sz val="12"/>
      <name val="Arial"/>
      <family val="2"/>
    </font>
    <font>
      <sz val="12"/>
      <color indexed="52"/>
      <name val="Arial Narrow"/>
      <family val="2"/>
    </font>
    <font>
      <sz val="8"/>
      <name val="VNarial"/>
      <family val="2"/>
    </font>
    <font>
      <b/>
      <sz val="11"/>
      <name val="Helv"/>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3"/>
      <name val="Times New Roman"/>
      <family val="1"/>
    </font>
    <font>
      <sz val="12"/>
      <color theme="1"/>
      <name val="Times New Roman"/>
      <family val="2"/>
      <charset val="163"/>
    </font>
    <font>
      <sz val="11"/>
      <color theme="1"/>
      <name val="Calibri"/>
      <family val="2"/>
    </font>
    <font>
      <sz val="9"/>
      <name val="Arial"/>
      <family val="2"/>
    </font>
    <font>
      <sz val="12"/>
      <color indexed="8"/>
      <name val="Times New Roman"/>
      <family val="2"/>
      <charset val="163"/>
    </font>
    <font>
      <sz val="12"/>
      <color theme="1"/>
      <name val="Times New Roman"/>
      <family val="2"/>
    </font>
    <font>
      <sz val="11"/>
      <color indexed="8"/>
      <name val="Helvetica Neue"/>
    </font>
    <font>
      <sz val="10"/>
      <name val="VNlucida sans"/>
      <family val="2"/>
    </font>
    <font>
      <sz val="11"/>
      <color indexed="52"/>
      <name val="Calibri"/>
      <family val="2"/>
    </font>
    <font>
      <b/>
      <sz val="11"/>
      <name val="Arial"/>
      <family val="2"/>
    </font>
    <font>
      <b/>
      <sz val="12"/>
      <color indexed="63"/>
      <name val="Arial Narrow"/>
      <family val="2"/>
    </font>
    <font>
      <sz val="14"/>
      <name val=".VnArial Narrow"/>
      <family val="2"/>
    </font>
    <font>
      <sz val="12"/>
      <color indexed="8"/>
      <name val="Times New Roman"/>
      <family val="1"/>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sz val="8"/>
      <name val="Tms Rmn"/>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b/>
      <sz val="18"/>
      <color indexed="56"/>
      <name val="Cambria"/>
      <family val="2"/>
    </font>
    <font>
      <b/>
      <sz val="11"/>
      <color indexed="52"/>
      <name val="Calibri"/>
      <family val="2"/>
    </font>
    <font>
      <sz val="9.5"/>
      <name val=".VnBlackH"/>
      <family val="2"/>
    </font>
    <font>
      <b/>
      <sz val="10"/>
      <name val=".VnBahamasBH"/>
      <family val="2"/>
    </font>
    <font>
      <b/>
      <sz val="11"/>
      <name val=".VnArialH"/>
      <family val="2"/>
    </font>
    <font>
      <b/>
      <sz val="11"/>
      <color indexed="8"/>
      <name val="Calibri"/>
      <family val="2"/>
    </font>
    <font>
      <b/>
      <sz val="10"/>
      <name val=".VnArialH"/>
      <family val="2"/>
    </font>
    <font>
      <sz val="11"/>
      <color indexed="17"/>
      <name val="Calibri"/>
      <family val="2"/>
    </font>
    <font>
      <sz val="10"/>
      <name val=".VnAvant"/>
      <family val="2"/>
    </font>
    <font>
      <sz val="11"/>
      <color indexed="60"/>
      <name val="Calibri"/>
      <family val="2"/>
    </font>
    <font>
      <sz val="10"/>
      <name val=".VnArial Narrow"/>
      <family val="2"/>
    </font>
    <font>
      <sz val="9"/>
      <name val="VNswitzerlandCondensed"/>
      <family val="2"/>
    </font>
    <font>
      <sz val="11"/>
      <name val="VNI-Times"/>
    </font>
    <font>
      <sz val="11"/>
      <color indexed="10"/>
      <name val="Calibri"/>
      <family val="2"/>
    </font>
    <font>
      <i/>
      <sz val="11"/>
      <color indexed="23"/>
      <name val="Calibri"/>
      <family val="2"/>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1"/>
      <color indexed="20"/>
      <name val="Calibri"/>
      <family val="2"/>
    </font>
    <font>
      <sz val="14"/>
      <name val=".VnArial"/>
      <family val="2"/>
    </font>
    <font>
      <sz val="10"/>
      <name val=" "/>
      <family val="1"/>
      <charset val="136"/>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2"/>
      <name val="Times New Roman"/>
      <family val="1"/>
    </font>
    <font>
      <b/>
      <sz val="14"/>
      <name val="Times New Roman"/>
      <family val="1"/>
    </font>
  </fonts>
  <fills count="5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9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64"/>
      </right>
      <top style="hair">
        <color indexed="8"/>
      </top>
      <bottom style="hair">
        <color indexed="8"/>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hair">
        <color indexed="8"/>
      </bottom>
      <diagonal/>
    </border>
    <border>
      <left style="thin">
        <color indexed="64"/>
      </left>
      <right style="thin">
        <color indexed="64"/>
      </right>
      <top style="dashed">
        <color indexed="64"/>
      </top>
      <bottom style="dashed">
        <color indexed="64"/>
      </bottom>
      <diagonal/>
    </border>
    <border>
      <left/>
      <right/>
      <top/>
      <bottom style="thin">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s>
  <cellStyleXfs count="2020">
    <xf numFmtId="0" fontId="0" fillId="0" borderId="0"/>
    <xf numFmtId="0" fontId="6" fillId="0" borderId="0"/>
    <xf numFmtId="0" fontId="6" fillId="0" borderId="0"/>
    <xf numFmtId="43" fontId="5"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0" fontId="15" fillId="0" borderId="0"/>
    <xf numFmtId="0" fontId="13" fillId="0" borderId="0"/>
    <xf numFmtId="0" fontId="6" fillId="0" borderId="0"/>
    <xf numFmtId="0" fontId="17" fillId="0" borderId="0"/>
    <xf numFmtId="9"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 fillId="0" borderId="0"/>
    <xf numFmtId="0" fontId="2" fillId="0" borderId="0"/>
    <xf numFmtId="0" fontId="6" fillId="0" borderId="0"/>
    <xf numFmtId="0" fontId="17" fillId="0" borderId="0"/>
    <xf numFmtId="0" fontId="2" fillId="0" borderId="0"/>
    <xf numFmtId="43" fontId="44" fillId="0" borderId="0" applyFont="0" applyFill="0" applyBorder="0" applyAlignment="0" applyProtection="0"/>
    <xf numFmtId="0" fontId="46" fillId="0" borderId="0"/>
    <xf numFmtId="183" fontId="47"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48" fillId="0" borderId="22"/>
    <xf numFmtId="167" fontId="49" fillId="0" borderId="55" applyFont="0" applyBorder="0"/>
    <xf numFmtId="184" fontId="50" fillId="0" borderId="0" applyBorder="0"/>
    <xf numFmtId="167" fontId="49" fillId="0" borderId="55" applyFont="0" applyBorder="0"/>
    <xf numFmtId="0" fontId="51" fillId="0" borderId="0"/>
    <xf numFmtId="185"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86" fontId="7" fillId="0" borderId="0" applyFont="0" applyFill="0" applyBorder="0" applyAlignment="0" applyProtection="0"/>
    <xf numFmtId="187" fontId="6" fillId="0" borderId="0" applyFont="0" applyFill="0" applyBorder="0" applyAlignment="0" applyProtection="0"/>
    <xf numFmtId="0" fontId="6" fillId="0" borderId="0" applyNumberFormat="0" applyFill="0" applyBorder="0" applyAlignment="0" applyProtection="0"/>
    <xf numFmtId="0" fontId="53" fillId="0" borderId="0" applyFont="0" applyFill="0" applyBorder="0" applyAlignment="0" applyProtection="0"/>
    <xf numFmtId="0" fontId="54" fillId="0" borderId="56"/>
    <xf numFmtId="188" fontId="55" fillId="0" borderId="0" applyFont="0" applyFill="0" applyBorder="0" applyAlignment="0" applyProtection="0"/>
    <xf numFmtId="189" fontId="55" fillId="0" borderId="0" applyFont="0" applyFill="0" applyBorder="0" applyAlignment="0" applyProtection="0"/>
    <xf numFmtId="190" fontId="51" fillId="0" borderId="0" applyFont="0" applyFill="0" applyBorder="0" applyAlignment="0" applyProtection="0"/>
    <xf numFmtId="181" fontId="56" fillId="0" borderId="0" applyFont="0" applyFill="0" applyBorder="0" applyAlignment="0" applyProtection="0"/>
    <xf numFmtId="191" fontId="56" fillId="0" borderId="0" applyFont="0" applyFill="0" applyBorder="0" applyAlignment="0" applyProtection="0"/>
    <xf numFmtId="6" fontId="57" fillId="0" borderId="0" applyFont="0" applyFill="0" applyBorder="0" applyAlignment="0" applyProtection="0"/>
    <xf numFmtId="0" fontId="5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9" fillId="0" borderId="0"/>
    <xf numFmtId="0" fontId="6" fillId="0" borderId="0" applyNumberFormat="0" applyFill="0" applyBorder="0" applyAlignment="0" applyProtection="0"/>
    <xf numFmtId="181" fontId="15" fillId="0" borderId="0" applyFont="0" applyFill="0" applyBorder="0" applyAlignment="0" applyProtection="0"/>
    <xf numFmtId="192" fontId="60" fillId="0" borderId="0" applyFont="0" applyFill="0" applyBorder="0" applyAlignment="0" applyProtection="0"/>
    <xf numFmtId="193" fontId="60" fillId="0" borderId="0" applyFont="0" applyFill="0" applyBorder="0" applyAlignment="0" applyProtection="0"/>
    <xf numFmtId="193" fontId="60" fillId="0" borderId="0" applyFont="0" applyFill="0" applyBorder="0" applyAlignment="0" applyProtection="0"/>
    <xf numFmtId="0" fontId="61" fillId="0" borderId="0"/>
    <xf numFmtId="0" fontId="61" fillId="0" borderId="0"/>
    <xf numFmtId="0" fontId="61" fillId="0" borderId="0"/>
    <xf numFmtId="194" fontId="15" fillId="0" borderId="0" applyFont="0" applyFill="0" applyBorder="0" applyAlignment="0" applyProtection="0"/>
    <xf numFmtId="194" fontId="15" fillId="0" borderId="0" applyFont="0" applyFill="0" applyBorder="0" applyAlignment="0" applyProtection="0"/>
    <xf numFmtId="192" fontId="60" fillId="0" borderId="0" applyFont="0" applyFill="0" applyBorder="0" applyAlignment="0" applyProtection="0"/>
    <xf numFmtId="0" fontId="61" fillId="0" borderId="0"/>
    <xf numFmtId="0" fontId="52" fillId="0" borderId="0"/>
    <xf numFmtId="0" fontId="62" fillId="0" borderId="0">
      <alignment vertical="top"/>
    </xf>
    <xf numFmtId="0" fontId="62" fillId="0" borderId="0">
      <alignment vertical="top"/>
    </xf>
    <xf numFmtId="188" fontId="60" fillId="0" borderId="0" applyFont="0" applyFill="0" applyBorder="0" applyAlignment="0" applyProtection="0"/>
    <xf numFmtId="192" fontId="60" fillId="0" borderId="0" applyFont="0" applyFill="0" applyBorder="0" applyAlignment="0" applyProtection="0"/>
    <xf numFmtId="195" fontId="47" fillId="0" borderId="0" applyFont="0" applyFill="0" applyBorder="0" applyAlignment="0" applyProtection="0"/>
    <xf numFmtId="196" fontId="60" fillId="0" borderId="0" applyFont="0" applyFill="0" applyBorder="0" applyAlignment="0" applyProtection="0"/>
    <xf numFmtId="197" fontId="60" fillId="0" borderId="0" applyFont="0" applyFill="0" applyBorder="0" applyAlignment="0" applyProtection="0"/>
    <xf numFmtId="196" fontId="60" fillId="0" borderId="0" applyFont="0" applyFill="0" applyBorder="0" applyAlignment="0" applyProtection="0"/>
    <xf numFmtId="195" fontId="47" fillId="0" borderId="0" applyFont="0" applyFill="0" applyBorder="0" applyAlignment="0" applyProtection="0"/>
    <xf numFmtId="0" fontId="52" fillId="0" borderId="0"/>
    <xf numFmtId="0" fontId="51" fillId="0" borderId="0" applyNumberFormat="0" applyFill="0" applyBorder="0" applyAlignment="0" applyProtection="0"/>
    <xf numFmtId="0" fontId="51" fillId="0" borderId="0" applyNumberFormat="0" applyFill="0" applyBorder="0" applyAlignment="0" applyProtection="0"/>
    <xf numFmtId="195" fontId="47" fillId="0" borderId="0" applyFont="0" applyFill="0" applyBorder="0" applyAlignment="0" applyProtection="0"/>
    <xf numFmtId="0" fontId="52" fillId="0" borderId="0"/>
    <xf numFmtId="0" fontId="62" fillId="0" borderId="0">
      <alignment vertical="top"/>
    </xf>
    <xf numFmtId="0" fontId="62" fillId="0" borderId="0">
      <alignment vertical="top"/>
    </xf>
    <xf numFmtId="0" fontId="62" fillId="0" borderId="0">
      <alignment vertical="top"/>
    </xf>
    <xf numFmtId="192" fontId="60" fillId="0" borderId="0" applyFont="0" applyFill="0" applyBorder="0" applyAlignment="0" applyProtection="0"/>
    <xf numFmtId="192" fontId="60" fillId="0" borderId="0" applyFont="0" applyFill="0" applyBorder="0" applyAlignment="0" applyProtection="0"/>
    <xf numFmtId="192" fontId="6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xf numFmtId="0" fontId="52" fillId="0" borderId="0"/>
    <xf numFmtId="0" fontId="52"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52" fillId="0" borderId="0"/>
    <xf numFmtId="0" fontId="52" fillId="0" borderId="0"/>
    <xf numFmtId="0" fontId="61" fillId="0" borderId="0"/>
    <xf numFmtId="192" fontId="60" fillId="0" borderId="0" applyFont="0" applyFill="0" applyBorder="0" applyAlignment="0" applyProtection="0"/>
    <xf numFmtId="198" fontId="47" fillId="0" borderId="0" applyFont="0" applyFill="0" applyBorder="0" applyAlignment="0" applyProtection="0"/>
    <xf numFmtId="193" fontId="60" fillId="0" borderId="0" applyFont="0" applyFill="0" applyBorder="0" applyAlignment="0" applyProtection="0"/>
    <xf numFmtId="183" fontId="47" fillId="0" borderId="0" applyFont="0" applyFill="0" applyBorder="0" applyAlignment="0" applyProtection="0"/>
    <xf numFmtId="192" fontId="47" fillId="0" borderId="0" applyFont="0" applyFill="0" applyBorder="0" applyAlignment="0" applyProtection="0"/>
    <xf numFmtId="192" fontId="47" fillId="0" borderId="0" applyFont="0" applyFill="0" applyBorder="0" applyAlignment="0" applyProtection="0"/>
    <xf numFmtId="199" fontId="64"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4" fillId="0" borderId="0" applyFont="0" applyFill="0" applyBorder="0" applyAlignment="0" applyProtection="0"/>
    <xf numFmtId="200" fontId="47" fillId="0" borderId="0" applyFont="0" applyFill="0" applyBorder="0" applyAlignment="0" applyProtection="0"/>
    <xf numFmtId="199" fontId="64" fillId="0" borderId="0" applyFont="0" applyFill="0" applyBorder="0" applyAlignment="0" applyProtection="0"/>
    <xf numFmtId="183" fontId="47" fillId="0" borderId="0" applyFont="0" applyFill="0" applyBorder="0" applyAlignment="0" applyProtection="0"/>
    <xf numFmtId="192" fontId="47" fillId="0" borderId="0" applyFont="0" applyFill="0" applyBorder="0" applyAlignment="0" applyProtection="0"/>
    <xf numFmtId="191" fontId="47" fillId="0" borderId="0" applyFont="0" applyFill="0" applyBorder="0" applyAlignment="0" applyProtection="0"/>
    <xf numFmtId="191" fontId="47" fillId="0" borderId="0" applyFont="0" applyFill="0" applyBorder="0" applyAlignment="0" applyProtection="0"/>
    <xf numFmtId="202" fontId="47" fillId="0" borderId="0" applyFont="0" applyFill="0" applyBorder="0" applyAlignment="0" applyProtection="0"/>
    <xf numFmtId="202" fontId="47"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3" fontId="60" fillId="0" borderId="0" applyFont="0" applyFill="0" applyBorder="0" applyAlignment="0" applyProtection="0"/>
    <xf numFmtId="206"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0"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3" fontId="60" fillId="0" borderId="0" applyFont="0" applyFill="0" applyBorder="0" applyAlignment="0" applyProtection="0"/>
    <xf numFmtId="207" fontId="60" fillId="0" borderId="0" applyFont="0" applyFill="0" applyBorder="0" applyAlignment="0" applyProtection="0"/>
    <xf numFmtId="204"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3"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7" fontId="60" fillId="0" borderId="0" applyFont="0" applyFill="0" applyBorder="0" applyAlignment="0" applyProtection="0"/>
    <xf numFmtId="207" fontId="60" fillId="0" borderId="0" applyFont="0" applyFill="0" applyBorder="0" applyAlignment="0" applyProtection="0"/>
    <xf numFmtId="205" fontId="60" fillId="0" borderId="0" applyFont="0" applyFill="0" applyBorder="0" applyAlignment="0" applyProtection="0"/>
    <xf numFmtId="209"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210" fontId="47"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181" fontId="64" fillId="0" borderId="0" applyFont="0" applyFill="0" applyBorder="0" applyAlignment="0" applyProtection="0"/>
    <xf numFmtId="211" fontId="60" fillId="0" borderId="0" applyFont="0" applyFill="0" applyBorder="0" applyAlignment="0" applyProtection="0"/>
    <xf numFmtId="211" fontId="60"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191" fontId="64" fillId="0" borderId="0" applyFont="0" applyFill="0" applyBorder="0" applyAlignment="0" applyProtection="0"/>
    <xf numFmtId="211" fontId="60" fillId="0" borderId="0" applyFont="0" applyFill="0" applyBorder="0" applyAlignment="0" applyProtection="0"/>
    <xf numFmtId="181" fontId="64" fillId="0" borderId="0" applyFont="0" applyFill="0" applyBorder="0" applyAlignment="0" applyProtection="0"/>
    <xf numFmtId="213" fontId="65" fillId="0" borderId="0" applyFont="0" applyFill="0" applyBorder="0" applyAlignment="0" applyProtection="0"/>
    <xf numFmtId="209" fontId="60" fillId="0" borderId="0" applyFont="0" applyFill="0" applyBorder="0" applyAlignment="0" applyProtection="0"/>
    <xf numFmtId="204"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81" fontId="47" fillId="0" borderId="0" applyFont="0" applyFill="0" applyBorder="0" applyAlignment="0" applyProtection="0"/>
    <xf numFmtId="193" fontId="60" fillId="0" borderId="0" applyFont="0" applyFill="0" applyBorder="0" applyAlignment="0" applyProtection="0"/>
    <xf numFmtId="195" fontId="47" fillId="0" borderId="0" applyFont="0" applyFill="0" applyBorder="0" applyAlignment="0" applyProtection="0"/>
    <xf numFmtId="196" fontId="60" fillId="0" borderId="0" applyFont="0" applyFill="0" applyBorder="0" applyAlignment="0" applyProtection="0"/>
    <xf numFmtId="197" fontId="60" fillId="0" borderId="0" applyFont="0" applyFill="0" applyBorder="0" applyAlignment="0" applyProtection="0"/>
    <xf numFmtId="196" fontId="60" fillId="0" borderId="0" applyFont="0" applyFill="0" applyBorder="0" applyAlignment="0" applyProtection="0"/>
    <xf numFmtId="192" fontId="63" fillId="0" borderId="0" applyFont="0" applyFill="0" applyBorder="0" applyAlignment="0" applyProtection="0"/>
    <xf numFmtId="192" fontId="60" fillId="0" borderId="0" applyFont="0" applyFill="0" applyBorder="0" applyAlignment="0" applyProtection="0"/>
    <xf numFmtId="198" fontId="47" fillId="0" borderId="0" applyFont="0" applyFill="0" applyBorder="0" applyAlignment="0" applyProtection="0"/>
    <xf numFmtId="192" fontId="60" fillId="0" borderId="0" applyFont="0" applyFill="0" applyBorder="0" applyAlignment="0" applyProtection="0"/>
    <xf numFmtId="196" fontId="60" fillId="0" borderId="0" applyFont="0" applyFill="0" applyBorder="0" applyAlignment="0" applyProtection="0"/>
    <xf numFmtId="192" fontId="63" fillId="0" borderId="0" applyFont="0" applyFill="0" applyBorder="0" applyAlignment="0" applyProtection="0"/>
    <xf numFmtId="214" fontId="60" fillId="0" borderId="0" applyFont="0" applyFill="0" applyBorder="0" applyAlignment="0" applyProtection="0"/>
    <xf numFmtId="195" fontId="47"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216" fontId="60" fillId="0" borderId="0" applyFont="0" applyFill="0" applyBorder="0" applyAlignment="0" applyProtection="0"/>
    <xf numFmtId="217" fontId="64" fillId="0" borderId="0" applyFont="0" applyFill="0" applyBorder="0" applyAlignment="0" applyProtection="0"/>
    <xf numFmtId="216" fontId="60"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217" fontId="64" fillId="0" borderId="0" applyFont="0" applyFill="0" applyBorder="0" applyAlignment="0" applyProtection="0"/>
    <xf numFmtId="218" fontId="60" fillId="0" borderId="0" applyFont="0" applyFill="0" applyBorder="0" applyAlignment="0" applyProtection="0"/>
    <xf numFmtId="218" fontId="6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81" fontId="64" fillId="0" borderId="0" applyFont="0" applyFill="0" applyBorder="0" applyAlignment="0" applyProtection="0"/>
    <xf numFmtId="218" fontId="60" fillId="0" borderId="0" applyFont="0" applyFill="0" applyBorder="0" applyAlignment="0" applyProtection="0"/>
    <xf numFmtId="217" fontId="64" fillId="0" borderId="0" applyFont="0" applyFill="0" applyBorder="0" applyAlignment="0" applyProtection="0"/>
    <xf numFmtId="180" fontId="65" fillId="0" borderId="0" applyFont="0" applyFill="0" applyBorder="0" applyAlignment="0" applyProtection="0"/>
    <xf numFmtId="220" fontId="60" fillId="0" borderId="0" applyFont="0" applyFill="0" applyBorder="0" applyAlignment="0" applyProtection="0"/>
    <xf numFmtId="192"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3" fontId="60" fillId="0" borderId="0" applyFont="0" applyFill="0" applyBorder="0" applyAlignment="0" applyProtection="0"/>
    <xf numFmtId="206"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0"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3" fontId="60" fillId="0" borderId="0" applyFont="0" applyFill="0" applyBorder="0" applyAlignment="0" applyProtection="0"/>
    <xf numFmtId="207" fontId="60" fillId="0" borderId="0" applyFont="0" applyFill="0" applyBorder="0" applyAlignment="0" applyProtection="0"/>
    <xf numFmtId="204"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3"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7" fontId="60" fillId="0" borderId="0" applyFont="0" applyFill="0" applyBorder="0" applyAlignment="0" applyProtection="0"/>
    <xf numFmtId="207" fontId="60" fillId="0" borderId="0" applyFont="0" applyFill="0" applyBorder="0" applyAlignment="0" applyProtection="0"/>
    <xf numFmtId="205" fontId="60" fillId="0" borderId="0" applyFont="0" applyFill="0" applyBorder="0" applyAlignment="0" applyProtection="0"/>
    <xf numFmtId="209"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210" fontId="47"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181" fontId="64" fillId="0" borderId="0" applyFont="0" applyFill="0" applyBorder="0" applyAlignment="0" applyProtection="0"/>
    <xf numFmtId="211" fontId="60" fillId="0" borderId="0" applyFont="0" applyFill="0" applyBorder="0" applyAlignment="0" applyProtection="0"/>
    <xf numFmtId="211" fontId="60"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191" fontId="64" fillId="0" borderId="0" applyFont="0" applyFill="0" applyBorder="0" applyAlignment="0" applyProtection="0"/>
    <xf numFmtId="211" fontId="60" fillId="0" borderId="0" applyFont="0" applyFill="0" applyBorder="0" applyAlignment="0" applyProtection="0"/>
    <xf numFmtId="181" fontId="64" fillId="0" borderId="0" applyFont="0" applyFill="0" applyBorder="0" applyAlignment="0" applyProtection="0"/>
    <xf numFmtId="213" fontId="65" fillId="0" borderId="0" applyFont="0" applyFill="0" applyBorder="0" applyAlignment="0" applyProtection="0"/>
    <xf numFmtId="209" fontId="60" fillId="0" borderId="0" applyFont="0" applyFill="0" applyBorder="0" applyAlignment="0" applyProtection="0"/>
    <xf numFmtId="204" fontId="60" fillId="0" borderId="0" applyFont="0" applyFill="0" applyBorder="0" applyAlignment="0" applyProtection="0"/>
    <xf numFmtId="191" fontId="60" fillId="0" borderId="0" applyFont="0" applyFill="0" applyBorder="0" applyAlignment="0" applyProtection="0"/>
    <xf numFmtId="191" fontId="47" fillId="0" borderId="0" applyFont="0" applyFill="0" applyBorder="0" applyAlignment="0" applyProtection="0"/>
    <xf numFmtId="191" fontId="47" fillId="0" borderId="0" applyFont="0" applyFill="0" applyBorder="0" applyAlignment="0" applyProtection="0"/>
    <xf numFmtId="202" fontId="47" fillId="0" borderId="0" applyFont="0" applyFill="0" applyBorder="0" applyAlignment="0" applyProtection="0"/>
    <xf numFmtId="202" fontId="47" fillId="0" borderId="0" applyFont="0" applyFill="0" applyBorder="0" applyAlignment="0" applyProtection="0"/>
    <xf numFmtId="191"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1" fontId="60" fillId="0" borderId="0" applyFont="0" applyFill="0" applyBorder="0" applyAlignment="0" applyProtection="0"/>
    <xf numFmtId="223" fontId="60" fillId="0" borderId="0" applyFont="0" applyFill="0" applyBorder="0" applyAlignment="0" applyProtection="0"/>
    <xf numFmtId="194" fontId="47" fillId="0" borderId="0" applyFont="0" applyFill="0" applyBorder="0" applyAlignment="0" applyProtection="0"/>
    <xf numFmtId="164" fontId="60" fillId="0" borderId="0" applyFont="0" applyFill="0" applyBorder="0" applyAlignment="0" applyProtection="0"/>
    <xf numFmtId="194" fontId="47"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2" fontId="60" fillId="0" borderId="0" applyFont="0" applyFill="0" applyBorder="0" applyAlignment="0" applyProtection="0"/>
    <xf numFmtId="225" fontId="60" fillId="0" borderId="0" applyFont="0" applyFill="0" applyBorder="0" applyAlignment="0" applyProtection="0"/>
    <xf numFmtId="226" fontId="60" fillId="0" borderId="0" applyFont="0" applyFill="0" applyBorder="0" applyAlignment="0" applyProtection="0"/>
    <xf numFmtId="225" fontId="60" fillId="0" borderId="0" applyFont="0" applyFill="0" applyBorder="0" applyAlignment="0" applyProtection="0"/>
    <xf numFmtId="221"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4" fontId="60" fillId="0" borderId="0" applyFont="0" applyFill="0" applyBorder="0" applyAlignment="0" applyProtection="0"/>
    <xf numFmtId="224" fontId="60" fillId="0" borderId="0" applyFont="0" applyFill="0" applyBorder="0" applyAlignment="0" applyProtection="0"/>
    <xf numFmtId="194" fontId="60" fillId="0" borderId="0" applyFont="0" applyFill="0" applyBorder="0" applyAlignment="0" applyProtection="0"/>
    <xf numFmtId="227"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228" fontId="47"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192" fontId="64" fillId="0" borderId="0" applyFont="0" applyFill="0" applyBorder="0" applyAlignment="0" applyProtection="0"/>
    <xf numFmtId="229" fontId="60" fillId="0" borderId="0" applyFont="0" applyFill="0" applyBorder="0" applyAlignment="0" applyProtection="0"/>
    <xf numFmtId="229" fontId="6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99" fontId="64" fillId="0" borderId="0" applyFont="0" applyFill="0" applyBorder="0" applyAlignment="0" applyProtection="0"/>
    <xf numFmtId="229" fontId="60" fillId="0" borderId="0" applyFont="0" applyFill="0" applyBorder="0" applyAlignment="0" applyProtection="0"/>
    <xf numFmtId="192" fontId="64" fillId="0" borderId="0" applyFont="0" applyFill="0" applyBorder="0" applyAlignment="0" applyProtection="0"/>
    <xf numFmtId="230" fontId="65" fillId="0" borderId="0" applyFont="0" applyFill="0" applyBorder="0" applyAlignment="0" applyProtection="0"/>
    <xf numFmtId="222" fontId="60"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95" fontId="47" fillId="0" borderId="0" applyFont="0" applyFill="0" applyBorder="0" applyAlignment="0" applyProtection="0"/>
    <xf numFmtId="196" fontId="60" fillId="0" borderId="0" applyFont="0" applyFill="0" applyBorder="0" applyAlignment="0" applyProtection="0"/>
    <xf numFmtId="197" fontId="60" fillId="0" borderId="0" applyFont="0" applyFill="0" applyBorder="0" applyAlignment="0" applyProtection="0"/>
    <xf numFmtId="196" fontId="60" fillId="0" borderId="0" applyFont="0" applyFill="0" applyBorder="0" applyAlignment="0" applyProtection="0"/>
    <xf numFmtId="192" fontId="63" fillId="0" borderId="0" applyFont="0" applyFill="0" applyBorder="0" applyAlignment="0" applyProtection="0"/>
    <xf numFmtId="192" fontId="60" fillId="0" borderId="0" applyFont="0" applyFill="0" applyBorder="0" applyAlignment="0" applyProtection="0"/>
    <xf numFmtId="198" fontId="47" fillId="0" borderId="0" applyFont="0" applyFill="0" applyBorder="0" applyAlignment="0" applyProtection="0"/>
    <xf numFmtId="192" fontId="60" fillId="0" borderId="0" applyFont="0" applyFill="0" applyBorder="0" applyAlignment="0" applyProtection="0"/>
    <xf numFmtId="196" fontId="60" fillId="0" borderId="0" applyFont="0" applyFill="0" applyBorder="0" applyAlignment="0" applyProtection="0"/>
    <xf numFmtId="192" fontId="63" fillId="0" borderId="0" applyFont="0" applyFill="0" applyBorder="0" applyAlignment="0" applyProtection="0"/>
    <xf numFmtId="214" fontId="60" fillId="0" borderId="0" applyFont="0" applyFill="0" applyBorder="0" applyAlignment="0" applyProtection="0"/>
    <xf numFmtId="195" fontId="47"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216" fontId="60" fillId="0" borderId="0" applyFont="0" applyFill="0" applyBorder="0" applyAlignment="0" applyProtection="0"/>
    <xf numFmtId="217" fontId="64" fillId="0" borderId="0" applyFont="0" applyFill="0" applyBorder="0" applyAlignment="0" applyProtection="0"/>
    <xf numFmtId="216" fontId="60"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217" fontId="64" fillId="0" borderId="0" applyFont="0" applyFill="0" applyBorder="0" applyAlignment="0" applyProtection="0"/>
    <xf numFmtId="218" fontId="60" fillId="0" borderId="0" applyFont="0" applyFill="0" applyBorder="0" applyAlignment="0" applyProtection="0"/>
    <xf numFmtId="218" fontId="6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81" fontId="64" fillId="0" borderId="0" applyFont="0" applyFill="0" applyBorder="0" applyAlignment="0" applyProtection="0"/>
    <xf numFmtId="218" fontId="60" fillId="0" borderId="0" applyFont="0" applyFill="0" applyBorder="0" applyAlignment="0" applyProtection="0"/>
    <xf numFmtId="217" fontId="64" fillId="0" borderId="0" applyFont="0" applyFill="0" applyBorder="0" applyAlignment="0" applyProtection="0"/>
    <xf numFmtId="180" fontId="65" fillId="0" borderId="0" applyFont="0" applyFill="0" applyBorder="0" applyAlignment="0" applyProtection="0"/>
    <xf numFmtId="220" fontId="60" fillId="0" borderId="0" applyFont="0" applyFill="0" applyBorder="0" applyAlignment="0" applyProtection="0"/>
    <xf numFmtId="181" fontId="47" fillId="0" borderId="0" applyFont="0" applyFill="0" applyBorder="0" applyAlignment="0" applyProtection="0"/>
    <xf numFmtId="192" fontId="60" fillId="0" borderId="0" applyFont="0" applyFill="0" applyBorder="0" applyAlignment="0" applyProtection="0"/>
    <xf numFmtId="191" fontId="47"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1" fontId="60" fillId="0" borderId="0" applyFont="0" applyFill="0" applyBorder="0" applyAlignment="0" applyProtection="0"/>
    <xf numFmtId="223" fontId="60" fillId="0" borderId="0" applyFont="0" applyFill="0" applyBorder="0" applyAlignment="0" applyProtection="0"/>
    <xf numFmtId="194" fontId="47" fillId="0" borderId="0" applyFont="0" applyFill="0" applyBorder="0" applyAlignment="0" applyProtection="0"/>
    <xf numFmtId="164" fontId="60" fillId="0" borderId="0" applyFont="0" applyFill="0" applyBorder="0" applyAlignment="0" applyProtection="0"/>
    <xf numFmtId="194" fontId="47"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2" fontId="60" fillId="0" borderId="0" applyFont="0" applyFill="0" applyBorder="0" applyAlignment="0" applyProtection="0"/>
    <xf numFmtId="225" fontId="60" fillId="0" borderId="0" applyFont="0" applyFill="0" applyBorder="0" applyAlignment="0" applyProtection="0"/>
    <xf numFmtId="226" fontId="60" fillId="0" borderId="0" applyFont="0" applyFill="0" applyBorder="0" applyAlignment="0" applyProtection="0"/>
    <xf numFmtId="225" fontId="60" fillId="0" borderId="0" applyFont="0" applyFill="0" applyBorder="0" applyAlignment="0" applyProtection="0"/>
    <xf numFmtId="221"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4" fontId="60" fillId="0" borderId="0" applyFont="0" applyFill="0" applyBorder="0" applyAlignment="0" applyProtection="0"/>
    <xf numFmtId="224" fontId="60" fillId="0" borderId="0" applyFont="0" applyFill="0" applyBorder="0" applyAlignment="0" applyProtection="0"/>
    <xf numFmtId="194" fontId="60" fillId="0" borderId="0" applyFont="0" applyFill="0" applyBorder="0" applyAlignment="0" applyProtection="0"/>
    <xf numFmtId="227"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228" fontId="47"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192" fontId="64" fillId="0" borderId="0" applyFont="0" applyFill="0" applyBorder="0" applyAlignment="0" applyProtection="0"/>
    <xf numFmtId="229" fontId="60" fillId="0" borderId="0" applyFont="0" applyFill="0" applyBorder="0" applyAlignment="0" applyProtection="0"/>
    <xf numFmtId="229" fontId="6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99" fontId="64" fillId="0" borderId="0" applyFont="0" applyFill="0" applyBorder="0" applyAlignment="0" applyProtection="0"/>
    <xf numFmtId="229" fontId="60" fillId="0" borderId="0" applyFont="0" applyFill="0" applyBorder="0" applyAlignment="0" applyProtection="0"/>
    <xf numFmtId="192" fontId="64" fillId="0" borderId="0" applyFont="0" applyFill="0" applyBorder="0" applyAlignment="0" applyProtection="0"/>
    <xf numFmtId="230" fontId="65" fillId="0" borderId="0" applyFont="0" applyFill="0" applyBorder="0" applyAlignment="0" applyProtection="0"/>
    <xf numFmtId="222" fontId="60"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3" fontId="60" fillId="0" borderId="0" applyFont="0" applyFill="0" applyBorder="0" applyAlignment="0" applyProtection="0"/>
    <xf numFmtId="206"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0"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3" fontId="60" fillId="0" borderId="0" applyFont="0" applyFill="0" applyBorder="0" applyAlignment="0" applyProtection="0"/>
    <xf numFmtId="207" fontId="60" fillId="0" borderId="0" applyFont="0" applyFill="0" applyBorder="0" applyAlignment="0" applyProtection="0"/>
    <xf numFmtId="204"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3"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7" fontId="60" fillId="0" borderId="0" applyFont="0" applyFill="0" applyBorder="0" applyAlignment="0" applyProtection="0"/>
    <xf numFmtId="207" fontId="60" fillId="0" borderId="0" applyFont="0" applyFill="0" applyBorder="0" applyAlignment="0" applyProtection="0"/>
    <xf numFmtId="205" fontId="60" fillId="0" borderId="0" applyFont="0" applyFill="0" applyBorder="0" applyAlignment="0" applyProtection="0"/>
    <xf numFmtId="209"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210" fontId="47"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181" fontId="64" fillId="0" borderId="0" applyFont="0" applyFill="0" applyBorder="0" applyAlignment="0" applyProtection="0"/>
    <xf numFmtId="211" fontId="60" fillId="0" borderId="0" applyFont="0" applyFill="0" applyBorder="0" applyAlignment="0" applyProtection="0"/>
    <xf numFmtId="211" fontId="60"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191" fontId="64" fillId="0" borderId="0" applyFont="0" applyFill="0" applyBorder="0" applyAlignment="0" applyProtection="0"/>
    <xf numFmtId="211" fontId="60" fillId="0" borderId="0" applyFont="0" applyFill="0" applyBorder="0" applyAlignment="0" applyProtection="0"/>
    <xf numFmtId="181" fontId="64" fillId="0" borderId="0" applyFont="0" applyFill="0" applyBorder="0" applyAlignment="0" applyProtection="0"/>
    <xf numFmtId="213" fontId="65" fillId="0" borderId="0" applyFont="0" applyFill="0" applyBorder="0" applyAlignment="0" applyProtection="0"/>
    <xf numFmtId="209" fontId="60" fillId="0" borderId="0" applyFont="0" applyFill="0" applyBorder="0" applyAlignment="0" applyProtection="0"/>
    <xf numFmtId="204"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81" fontId="47" fillId="0" borderId="0" applyFont="0" applyFill="0" applyBorder="0" applyAlignment="0" applyProtection="0"/>
    <xf numFmtId="183" fontId="47" fillId="0" borderId="0" applyFont="0" applyFill="0" applyBorder="0" applyAlignment="0" applyProtection="0"/>
    <xf numFmtId="192" fontId="47" fillId="0" borderId="0" applyFont="0" applyFill="0" applyBorder="0" applyAlignment="0" applyProtection="0"/>
    <xf numFmtId="192" fontId="47" fillId="0" borderId="0" applyFont="0" applyFill="0" applyBorder="0" applyAlignment="0" applyProtection="0"/>
    <xf numFmtId="199" fontId="64"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4" fillId="0" borderId="0" applyFont="0" applyFill="0" applyBorder="0" applyAlignment="0" applyProtection="0"/>
    <xf numFmtId="200" fontId="47" fillId="0" borderId="0" applyFont="0" applyFill="0" applyBorder="0" applyAlignment="0" applyProtection="0"/>
    <xf numFmtId="199" fontId="64" fillId="0" borderId="0" applyFont="0" applyFill="0" applyBorder="0" applyAlignment="0" applyProtection="0"/>
    <xf numFmtId="183" fontId="47" fillId="0" borderId="0" applyFont="0" applyFill="0" applyBorder="0" applyAlignment="0" applyProtection="0"/>
    <xf numFmtId="192" fontId="47" fillId="0" borderId="0" applyFont="0" applyFill="0" applyBorder="0" applyAlignment="0" applyProtection="0"/>
    <xf numFmtId="191" fontId="47" fillId="0" borderId="0" applyFont="0" applyFill="0" applyBorder="0" applyAlignment="0" applyProtection="0"/>
    <xf numFmtId="202" fontId="47" fillId="0" borderId="0" applyFont="0" applyFill="0" applyBorder="0" applyAlignment="0" applyProtection="0"/>
    <xf numFmtId="202" fontId="47" fillId="0" borderId="0" applyFont="0" applyFill="0" applyBorder="0" applyAlignment="0" applyProtection="0"/>
    <xf numFmtId="192" fontId="60" fillId="0" borderId="0" applyFont="0" applyFill="0" applyBorder="0" applyAlignment="0" applyProtection="0"/>
    <xf numFmtId="196" fontId="60" fillId="0" borderId="0" applyFont="0" applyFill="0" applyBorder="0" applyAlignment="0" applyProtection="0"/>
    <xf numFmtId="192" fontId="6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14" fontId="60" fillId="0" borderId="0" applyFont="0" applyFill="0" applyBorder="0" applyAlignment="0" applyProtection="0"/>
    <xf numFmtId="195" fontId="47"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216" fontId="60" fillId="0" borderId="0" applyFont="0" applyFill="0" applyBorder="0" applyAlignment="0" applyProtection="0"/>
    <xf numFmtId="217" fontId="64" fillId="0" borderId="0" applyFont="0" applyFill="0" applyBorder="0" applyAlignment="0" applyProtection="0"/>
    <xf numFmtId="216" fontId="60"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0" fontId="66" fillId="0" borderId="0"/>
    <xf numFmtId="192" fontId="60" fillId="0" borderId="0" applyFont="0" applyFill="0" applyBorder="0" applyAlignment="0" applyProtection="0"/>
    <xf numFmtId="192" fontId="60" fillId="0" borderId="0" applyFont="0" applyFill="0" applyBorder="0" applyAlignment="0" applyProtection="0"/>
    <xf numFmtId="0" fontId="52" fillId="0" borderId="0"/>
    <xf numFmtId="217" fontId="64" fillId="0" borderId="0" applyFont="0" applyFill="0" applyBorder="0" applyAlignment="0" applyProtection="0"/>
    <xf numFmtId="218" fontId="60" fillId="0" borderId="0" applyFont="0" applyFill="0" applyBorder="0" applyAlignment="0" applyProtection="0"/>
    <xf numFmtId="218" fontId="6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81" fontId="64" fillId="0" borderId="0" applyFont="0" applyFill="0" applyBorder="0" applyAlignment="0" applyProtection="0"/>
    <xf numFmtId="218" fontId="60" fillId="0" borderId="0" applyFont="0" applyFill="0" applyBorder="0" applyAlignment="0" applyProtection="0"/>
    <xf numFmtId="217" fontId="64" fillId="0" borderId="0" applyFont="0" applyFill="0" applyBorder="0" applyAlignment="0" applyProtection="0"/>
    <xf numFmtId="180" fontId="65" fillId="0" borderId="0" applyFont="0" applyFill="0" applyBorder="0" applyAlignment="0" applyProtection="0"/>
    <xf numFmtId="220" fontId="60" fillId="0" borderId="0" applyFont="0" applyFill="0" applyBorder="0" applyAlignment="0" applyProtection="0"/>
    <xf numFmtId="192" fontId="60" fillId="0" borderId="0" applyFont="0" applyFill="0" applyBorder="0" applyAlignment="0" applyProtection="0"/>
    <xf numFmtId="192" fontId="60" fillId="0" borderId="0" applyFont="0" applyFill="0" applyBorder="0" applyAlignment="0" applyProtection="0"/>
    <xf numFmtId="181" fontId="47"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1" fontId="60" fillId="0" borderId="0" applyFont="0" applyFill="0" applyBorder="0" applyAlignment="0" applyProtection="0"/>
    <xf numFmtId="223" fontId="60" fillId="0" borderId="0" applyFont="0" applyFill="0" applyBorder="0" applyAlignment="0" applyProtection="0"/>
    <xf numFmtId="194" fontId="47" fillId="0" borderId="0" applyFont="0" applyFill="0" applyBorder="0" applyAlignment="0" applyProtection="0"/>
    <xf numFmtId="164" fontId="60" fillId="0" borderId="0" applyFont="0" applyFill="0" applyBorder="0" applyAlignment="0" applyProtection="0"/>
    <xf numFmtId="194" fontId="47"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2" fontId="60" fillId="0" borderId="0" applyFont="0" applyFill="0" applyBorder="0" applyAlignment="0" applyProtection="0"/>
    <xf numFmtId="225" fontId="60" fillId="0" borderId="0" applyFont="0" applyFill="0" applyBorder="0" applyAlignment="0" applyProtection="0"/>
    <xf numFmtId="226" fontId="60" fillId="0" borderId="0" applyFont="0" applyFill="0" applyBorder="0" applyAlignment="0" applyProtection="0"/>
    <xf numFmtId="225" fontId="60" fillId="0" borderId="0" applyFont="0" applyFill="0" applyBorder="0" applyAlignment="0" applyProtection="0"/>
    <xf numFmtId="221"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4" fontId="60" fillId="0" borderId="0" applyFont="0" applyFill="0" applyBorder="0" applyAlignment="0" applyProtection="0"/>
    <xf numFmtId="224" fontId="60" fillId="0" borderId="0" applyFont="0" applyFill="0" applyBorder="0" applyAlignment="0" applyProtection="0"/>
    <xf numFmtId="194" fontId="60" fillId="0" borderId="0" applyFont="0" applyFill="0" applyBorder="0" applyAlignment="0" applyProtection="0"/>
    <xf numFmtId="227"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228" fontId="47"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192" fontId="64" fillId="0" borderId="0" applyFont="0" applyFill="0" applyBorder="0" applyAlignment="0" applyProtection="0"/>
    <xf numFmtId="229" fontId="60" fillId="0" borderId="0" applyFont="0" applyFill="0" applyBorder="0" applyAlignment="0" applyProtection="0"/>
    <xf numFmtId="229" fontId="6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99" fontId="64" fillId="0" borderId="0" applyFont="0" applyFill="0" applyBorder="0" applyAlignment="0" applyProtection="0"/>
    <xf numFmtId="229" fontId="60" fillId="0" borderId="0" applyFont="0" applyFill="0" applyBorder="0" applyAlignment="0" applyProtection="0"/>
    <xf numFmtId="192" fontId="64" fillId="0" borderId="0" applyFont="0" applyFill="0" applyBorder="0" applyAlignment="0" applyProtection="0"/>
    <xf numFmtId="230" fontId="65" fillId="0" borderId="0" applyFont="0" applyFill="0" applyBorder="0" applyAlignment="0" applyProtection="0"/>
    <xf numFmtId="222" fontId="60"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3" fontId="60" fillId="0" borderId="0" applyFont="0" applyFill="0" applyBorder="0" applyAlignment="0" applyProtection="0"/>
    <xf numFmtId="206" fontId="60" fillId="0" borderId="0" applyFont="0" applyFill="0" applyBorder="0" applyAlignment="0" applyProtection="0"/>
    <xf numFmtId="0" fontId="60" fillId="0" borderId="0" applyFont="0" applyFill="0" applyBorder="0" applyAlignment="0" applyProtection="0"/>
    <xf numFmtId="165" fontId="60" fillId="0" borderId="0" applyFont="0" applyFill="0" applyBorder="0" applyAlignment="0" applyProtection="0"/>
    <xf numFmtId="0"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3" fontId="60" fillId="0" borderId="0" applyFont="0" applyFill="0" applyBorder="0" applyAlignment="0" applyProtection="0"/>
    <xf numFmtId="207" fontId="60" fillId="0" borderId="0" applyFont="0" applyFill="0" applyBorder="0" applyAlignment="0" applyProtection="0"/>
    <xf numFmtId="204" fontId="60" fillId="0" borderId="0" applyFont="0" applyFill="0" applyBorder="0" applyAlignment="0" applyProtection="0"/>
    <xf numFmtId="208" fontId="60" fillId="0" borderId="0" applyFont="0" applyFill="0" applyBorder="0" applyAlignment="0" applyProtection="0"/>
    <xf numFmtId="208" fontId="60" fillId="0" borderId="0" applyFont="0" applyFill="0" applyBorder="0" applyAlignment="0" applyProtection="0"/>
    <xf numFmtId="203" fontId="60" fillId="0" borderId="0" applyFont="0" applyFill="0" applyBorder="0" applyAlignment="0" applyProtection="0"/>
    <xf numFmtId="205" fontId="60" fillId="0" borderId="0" applyFont="0" applyFill="0" applyBorder="0" applyAlignment="0" applyProtection="0"/>
    <xf numFmtId="205"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7" fontId="60" fillId="0" borderId="0" applyFont="0" applyFill="0" applyBorder="0" applyAlignment="0" applyProtection="0"/>
    <xf numFmtId="207" fontId="60" fillId="0" borderId="0" applyFont="0" applyFill="0" applyBorder="0" applyAlignment="0" applyProtection="0"/>
    <xf numFmtId="205" fontId="60" fillId="0" borderId="0" applyFont="0" applyFill="0" applyBorder="0" applyAlignment="0" applyProtection="0"/>
    <xf numFmtId="209"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210" fontId="47"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204" fontId="60" fillId="0" borderId="0" applyFont="0" applyFill="0" applyBorder="0" applyAlignment="0" applyProtection="0"/>
    <xf numFmtId="205" fontId="60" fillId="0" borderId="0" applyFont="0" applyFill="0" applyBorder="0" applyAlignment="0" applyProtection="0"/>
    <xf numFmtId="181" fontId="64" fillId="0" borderId="0" applyFont="0" applyFill="0" applyBorder="0" applyAlignment="0" applyProtection="0"/>
    <xf numFmtId="211" fontId="60" fillId="0" borderId="0" applyFont="0" applyFill="0" applyBorder="0" applyAlignment="0" applyProtection="0"/>
    <xf numFmtId="211" fontId="60"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191" fontId="64" fillId="0" borderId="0" applyFont="0" applyFill="0" applyBorder="0" applyAlignment="0" applyProtection="0"/>
    <xf numFmtId="211" fontId="60" fillId="0" borderId="0" applyFont="0" applyFill="0" applyBorder="0" applyAlignment="0" applyProtection="0"/>
    <xf numFmtId="181" fontId="64" fillId="0" borderId="0" applyFont="0" applyFill="0" applyBorder="0" applyAlignment="0" applyProtection="0"/>
    <xf numFmtId="213" fontId="65" fillId="0" borderId="0" applyFont="0" applyFill="0" applyBorder="0" applyAlignment="0" applyProtection="0"/>
    <xf numFmtId="209" fontId="60" fillId="0" borderId="0" applyFont="0" applyFill="0" applyBorder="0" applyAlignment="0" applyProtection="0"/>
    <xf numFmtId="204" fontId="60" fillId="0" borderId="0" applyFont="0" applyFill="0" applyBorder="0" applyAlignment="0" applyProtection="0"/>
    <xf numFmtId="191" fontId="60" fillId="0" borderId="0" applyFont="0" applyFill="0" applyBorder="0" applyAlignment="0" applyProtection="0"/>
    <xf numFmtId="191" fontId="60" fillId="0" borderId="0" applyFont="0" applyFill="0" applyBorder="0" applyAlignment="0" applyProtection="0"/>
    <xf numFmtId="204" fontId="60" fillId="0" borderId="0" applyFont="0" applyFill="0" applyBorder="0" applyAlignment="0" applyProtection="0"/>
    <xf numFmtId="204" fontId="60" fillId="0" borderId="0" applyFont="0" applyFill="0" applyBorder="0" applyAlignment="0" applyProtection="0"/>
    <xf numFmtId="165" fontId="60" fillId="0" borderId="0" applyFont="0" applyFill="0" applyBorder="0" applyAlignment="0" applyProtection="0"/>
    <xf numFmtId="204" fontId="60" fillId="0" borderId="0" applyFont="0" applyFill="0" applyBorder="0" applyAlignment="0" applyProtection="0"/>
    <xf numFmtId="183" fontId="47" fillId="0" borderId="0" applyFont="0" applyFill="0" applyBorder="0" applyAlignment="0" applyProtection="0"/>
    <xf numFmtId="192" fontId="47" fillId="0" borderId="0" applyFont="0" applyFill="0" applyBorder="0" applyAlignment="0" applyProtection="0"/>
    <xf numFmtId="192" fontId="47" fillId="0" borderId="0" applyFont="0" applyFill="0" applyBorder="0" applyAlignment="0" applyProtection="0"/>
    <xf numFmtId="199" fontId="64"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4" fillId="0" borderId="0" applyFont="0" applyFill="0" applyBorder="0" applyAlignment="0" applyProtection="0"/>
    <xf numFmtId="200" fontId="47" fillId="0" borderId="0" applyFont="0" applyFill="0" applyBorder="0" applyAlignment="0" applyProtection="0"/>
    <xf numFmtId="199" fontId="64" fillId="0" borderId="0" applyFont="0" applyFill="0" applyBorder="0" applyAlignment="0" applyProtection="0"/>
    <xf numFmtId="183" fontId="47" fillId="0" borderId="0" applyFont="0" applyFill="0" applyBorder="0" applyAlignment="0" applyProtection="0"/>
    <xf numFmtId="192" fontId="47" fillId="0" borderId="0" applyFont="0" applyFill="0" applyBorder="0" applyAlignment="0" applyProtection="0"/>
    <xf numFmtId="191" fontId="47" fillId="0" borderId="0" applyFont="0" applyFill="0" applyBorder="0" applyAlignment="0" applyProtection="0"/>
    <xf numFmtId="191" fontId="47" fillId="0" borderId="0" applyFont="0" applyFill="0" applyBorder="0" applyAlignment="0" applyProtection="0"/>
    <xf numFmtId="202" fontId="47" fillId="0" borderId="0" applyFont="0" applyFill="0" applyBorder="0" applyAlignment="0" applyProtection="0"/>
    <xf numFmtId="202" fontId="47" fillId="0" borderId="0" applyFont="0" applyFill="0" applyBorder="0" applyAlignment="0" applyProtection="0"/>
    <xf numFmtId="192" fontId="60" fillId="0" borderId="0" applyFont="0" applyFill="0" applyBorder="0" applyAlignment="0" applyProtection="0"/>
    <xf numFmtId="0" fontId="51" fillId="0" borderId="0" applyNumberFormat="0" applyFill="0" applyBorder="0" applyAlignment="0" applyProtection="0"/>
    <xf numFmtId="192" fontId="60" fillId="0" borderId="0" applyFont="0" applyFill="0" applyBorder="0" applyAlignment="0" applyProtection="0"/>
    <xf numFmtId="192" fontId="60" fillId="0" borderId="0" applyFont="0" applyFill="0" applyBorder="0" applyAlignment="0" applyProtection="0"/>
    <xf numFmtId="0" fontId="52" fillId="0" borderId="0"/>
    <xf numFmtId="0" fontId="51" fillId="0" borderId="0" applyNumberFormat="0" applyFill="0" applyBorder="0" applyAlignment="0" applyProtection="0"/>
    <xf numFmtId="0" fontId="51" fillId="0" borderId="0" applyNumberFormat="0" applyFill="0" applyBorder="0" applyAlignment="0" applyProtection="0"/>
    <xf numFmtId="192" fontId="60" fillId="0" borderId="0" applyFont="0" applyFill="0" applyBorder="0" applyAlignment="0" applyProtection="0"/>
    <xf numFmtId="0" fontId="62" fillId="0" borderId="0">
      <alignment vertical="top"/>
    </xf>
    <xf numFmtId="0" fontId="62" fillId="0" borderId="0">
      <alignment vertical="top"/>
    </xf>
    <xf numFmtId="0" fontId="62" fillId="0" borderId="0">
      <alignment vertical="top"/>
    </xf>
    <xf numFmtId="0" fontId="51" fillId="0" borderId="0" applyNumberFormat="0" applyFill="0" applyBorder="0" applyAlignment="0" applyProtection="0"/>
    <xf numFmtId="0" fontId="52" fillId="0" borderId="0"/>
    <xf numFmtId="0" fontId="61" fillId="0" borderId="0"/>
    <xf numFmtId="0" fontId="61" fillId="0" borderId="0"/>
    <xf numFmtId="0" fontId="61" fillId="0" borderId="0"/>
    <xf numFmtId="0" fontId="61" fillId="0" borderId="0"/>
    <xf numFmtId="188" fontId="60" fillId="0" borderId="0" applyFont="0" applyFill="0" applyBorder="0" applyAlignment="0" applyProtection="0"/>
    <xf numFmtId="231" fontId="67" fillId="0" borderId="0" applyFont="0" applyFill="0" applyBorder="0" applyAlignment="0" applyProtection="0"/>
    <xf numFmtId="232" fontId="68" fillId="0" borderId="0" applyFont="0" applyFill="0" applyBorder="0" applyAlignment="0" applyProtection="0"/>
    <xf numFmtId="233" fontId="68" fillId="0" borderId="0" applyFont="0" applyFill="0" applyBorder="0" applyAlignment="0" applyProtection="0"/>
    <xf numFmtId="0" fontId="69" fillId="0" borderId="0"/>
    <xf numFmtId="0" fontId="70" fillId="0" borderId="0"/>
    <xf numFmtId="0" fontId="70" fillId="0" borderId="0"/>
    <xf numFmtId="0" fontId="7" fillId="0" borderId="0"/>
    <xf numFmtId="1" fontId="71" fillId="0" borderId="22" applyBorder="0" applyAlignment="0">
      <alignment horizontal="center"/>
    </xf>
    <xf numFmtId="3" fontId="48" fillId="0" borderId="22"/>
    <xf numFmtId="3" fontId="48" fillId="0" borderId="22"/>
    <xf numFmtId="231" fontId="67" fillId="0" borderId="0" applyFont="0" applyFill="0" applyBorder="0" applyAlignment="0" applyProtection="0"/>
    <xf numFmtId="0" fontId="72" fillId="0" borderId="3" applyFont="0" applyAlignment="0">
      <alignment horizontal="left"/>
    </xf>
    <xf numFmtId="231" fontId="67" fillId="0" borderId="0" applyFont="0" applyFill="0" applyBorder="0" applyAlignment="0" applyProtection="0"/>
    <xf numFmtId="231" fontId="67" fillId="0" borderId="0" applyFont="0" applyFill="0" applyBorder="0" applyAlignment="0" applyProtection="0"/>
    <xf numFmtId="231" fontId="67" fillId="0" borderId="0" applyFont="0" applyFill="0" applyBorder="0" applyAlignment="0" applyProtection="0"/>
    <xf numFmtId="0" fontId="73" fillId="5" borderId="0"/>
    <xf numFmtId="0" fontId="74" fillId="5" borderId="0"/>
    <xf numFmtId="0" fontId="50" fillId="0" borderId="41" applyAlignment="0"/>
    <xf numFmtId="0" fontId="50" fillId="0" borderId="41" applyAlignment="0"/>
    <xf numFmtId="0" fontId="50" fillId="0" borderId="41" applyAlignment="0"/>
    <xf numFmtId="0" fontId="50" fillId="0" borderId="41" applyAlignment="0"/>
    <xf numFmtId="0" fontId="74" fillId="6" borderId="0"/>
    <xf numFmtId="0" fontId="74" fillId="5" borderId="0"/>
    <xf numFmtId="0" fontId="72" fillId="0" borderId="3" applyFont="0" applyAlignment="0">
      <alignment horizontal="left"/>
    </xf>
    <xf numFmtId="0" fontId="50" fillId="0" borderId="41" applyAlignment="0"/>
    <xf numFmtId="0" fontId="50" fillId="0" borderId="41" applyAlignment="0"/>
    <xf numFmtId="0" fontId="50" fillId="0" borderId="41" applyAlignment="0"/>
    <xf numFmtId="0" fontId="50" fillId="0" borderId="41" applyAlignment="0"/>
    <xf numFmtId="0" fontId="50" fillId="0" borderId="41" applyAlignment="0"/>
    <xf numFmtId="0" fontId="50" fillId="0" borderId="41" applyAlignment="0"/>
    <xf numFmtId="0" fontId="74" fillId="5" borderId="0"/>
    <xf numFmtId="0" fontId="74" fillId="5" borderId="0"/>
    <xf numFmtId="0" fontId="74" fillId="5" borderId="0"/>
    <xf numFmtId="0" fontId="74" fillId="5" borderId="0"/>
    <xf numFmtId="0" fontId="72" fillId="0" borderId="3" applyFont="0" applyAlignment="0">
      <alignment horizontal="left"/>
    </xf>
    <xf numFmtId="0" fontId="50" fillId="0" borderId="41" applyAlignment="0"/>
    <xf numFmtId="0" fontId="73" fillId="5" borderId="0"/>
    <xf numFmtId="0" fontId="50" fillId="0" borderId="23" applyFill="0" applyAlignment="0"/>
    <xf numFmtId="0" fontId="74" fillId="6" borderId="0"/>
    <xf numFmtId="0" fontId="50" fillId="0" borderId="23" applyFill="0" applyAlignment="0"/>
    <xf numFmtId="0" fontId="74" fillId="5" borderId="0"/>
    <xf numFmtId="0" fontId="74" fillId="5" borderId="0"/>
    <xf numFmtId="0" fontId="50" fillId="0" borderId="41" applyAlignment="0"/>
    <xf numFmtId="0" fontId="50" fillId="0" borderId="41" applyAlignment="0"/>
    <xf numFmtId="0" fontId="73" fillId="5" borderId="0"/>
    <xf numFmtId="231" fontId="67" fillId="0" borderId="0" applyFont="0" applyFill="0" applyBorder="0" applyAlignment="0" applyProtection="0"/>
    <xf numFmtId="0" fontId="50" fillId="0" borderId="41" applyAlignment="0"/>
    <xf numFmtId="0" fontId="50" fillId="0" borderId="41" applyAlignment="0"/>
    <xf numFmtId="0" fontId="50" fillId="0" borderId="41" applyAlignment="0"/>
    <xf numFmtId="0" fontId="50" fillId="0" borderId="41" applyAlignment="0"/>
    <xf numFmtId="231" fontId="67" fillId="0" borderId="0" applyFont="0" applyFill="0" applyBorder="0" applyAlignment="0" applyProtection="0"/>
    <xf numFmtId="231" fontId="67" fillId="0" borderId="0" applyFont="0" applyFill="0" applyBorder="0" applyAlignment="0" applyProtection="0"/>
    <xf numFmtId="0" fontId="15" fillId="5" borderId="0"/>
    <xf numFmtId="0" fontId="15" fillId="5" borderId="0"/>
    <xf numFmtId="0" fontId="74" fillId="5" borderId="0"/>
    <xf numFmtId="0" fontId="73" fillId="5" borderId="0"/>
    <xf numFmtId="0" fontId="74" fillId="5" borderId="0"/>
    <xf numFmtId="0" fontId="72" fillId="0" borderId="3" applyFont="0" applyAlignment="0">
      <alignment horizontal="left"/>
    </xf>
    <xf numFmtId="0" fontId="73" fillId="5" borderId="0"/>
    <xf numFmtId="0" fontId="72" fillId="0" borderId="3" applyFont="0" applyAlignment="0">
      <alignment horizontal="left"/>
    </xf>
    <xf numFmtId="0" fontId="50" fillId="0" borderId="41" applyAlignment="0"/>
    <xf numFmtId="0" fontId="50" fillId="0" borderId="41" applyAlignment="0"/>
    <xf numFmtId="0" fontId="75" fillId="0" borderId="0" applyFont="0" applyFill="0" applyBorder="0" applyAlignment="0">
      <alignment horizontal="left"/>
    </xf>
    <xf numFmtId="0" fontId="74" fillId="5" borderId="0"/>
    <xf numFmtId="0" fontId="72" fillId="0" borderId="3" applyFont="0" applyAlignment="0">
      <alignment horizontal="left"/>
    </xf>
    <xf numFmtId="0" fontId="74" fillId="5" borderId="0"/>
    <xf numFmtId="0" fontId="73" fillId="5" borderId="0"/>
    <xf numFmtId="0" fontId="74" fillId="5" borderId="0"/>
    <xf numFmtId="0" fontId="15" fillId="0" borderId="23" applyAlignment="0"/>
    <xf numFmtId="0" fontId="15" fillId="0" borderId="23" applyAlignment="0"/>
    <xf numFmtId="0" fontId="15" fillId="0" borderId="23" applyAlignment="0"/>
    <xf numFmtId="0" fontId="15" fillId="0" borderId="23" applyAlignment="0"/>
    <xf numFmtId="0" fontId="15" fillId="0" borderId="23" applyAlignment="0"/>
    <xf numFmtId="0" fontId="15" fillId="0" borderId="23" applyAlignment="0"/>
    <xf numFmtId="0" fontId="72" fillId="0" borderId="3" applyFont="0" applyAlignment="0">
      <alignment horizontal="left"/>
    </xf>
    <xf numFmtId="0" fontId="50" fillId="0" borderId="41" applyAlignment="0"/>
    <xf numFmtId="0" fontId="50" fillId="0" borderId="41" applyAlignment="0"/>
    <xf numFmtId="0" fontId="73" fillId="5" borderId="0"/>
    <xf numFmtId="0" fontId="73" fillId="5" borderId="0"/>
    <xf numFmtId="0" fontId="74" fillId="5" borderId="0"/>
    <xf numFmtId="0" fontId="74" fillId="5" borderId="0"/>
    <xf numFmtId="0" fontId="72" fillId="0" borderId="3" applyFont="0" applyAlignment="0">
      <alignment horizontal="left"/>
    </xf>
    <xf numFmtId="0" fontId="50" fillId="0" borderId="41" applyAlignment="0"/>
    <xf numFmtId="0" fontId="76" fillId="0" borderId="2" applyNumberFormat="0" applyFont="0" applyBorder="0">
      <alignment horizontal="left" indent="2"/>
    </xf>
    <xf numFmtId="0" fontId="75" fillId="0" borderId="0" applyFont="0" applyFill="0" applyBorder="0" applyAlignment="0">
      <alignment horizontal="left"/>
    </xf>
    <xf numFmtId="0" fontId="76" fillId="0" borderId="2" applyNumberFormat="0" applyFont="0" applyBorder="0">
      <alignment horizontal="left" indent="2"/>
    </xf>
    <xf numFmtId="0" fontId="76" fillId="0" borderId="2" applyNumberFormat="0" applyFont="0" applyBorder="0">
      <alignment horizontal="left" indent="2"/>
    </xf>
    <xf numFmtId="0" fontId="74" fillId="5" borderId="0"/>
    <xf numFmtId="0" fontId="74" fillId="5" borderId="0"/>
    <xf numFmtId="0" fontId="77" fillId="0" borderId="0"/>
    <xf numFmtId="0" fontId="78" fillId="7" borderId="57" applyFont="0" applyFill="0" applyAlignment="0">
      <alignment vertical="center" wrapText="1"/>
    </xf>
    <xf numFmtId="9" fontId="79" fillId="0" borderId="0" applyBorder="0" applyAlignment="0" applyProtection="0"/>
    <xf numFmtId="0" fontId="80" fillId="5" borderId="0"/>
    <xf numFmtId="0" fontId="73" fillId="5" borderId="0"/>
    <xf numFmtId="0" fontId="80" fillId="6" borderId="0"/>
    <xf numFmtId="0" fontId="15" fillId="0" borderId="41" applyNumberFormat="0" applyFill="0"/>
    <xf numFmtId="0" fontId="73" fillId="5" borderId="0"/>
    <xf numFmtId="0" fontId="15" fillId="0" borderId="41" applyNumberFormat="0" applyFill="0"/>
    <xf numFmtId="0" fontId="15" fillId="0" borderId="41" applyNumberFormat="0" applyFill="0"/>
    <xf numFmtId="0" fontId="15" fillId="0" borderId="41" applyNumberFormat="0" applyFill="0"/>
    <xf numFmtId="0" fontId="80" fillId="5" borderId="0"/>
    <xf numFmtId="0" fontId="15" fillId="0" borderId="41" applyNumberFormat="0" applyFill="0"/>
    <xf numFmtId="0" fontId="73" fillId="5" borderId="0"/>
    <xf numFmtId="0" fontId="15" fillId="5" borderId="0"/>
    <xf numFmtId="0" fontId="15" fillId="5" borderId="0"/>
    <xf numFmtId="0" fontId="73" fillId="5" borderId="0"/>
    <xf numFmtId="0" fontId="73" fillId="5" borderId="0"/>
    <xf numFmtId="0" fontId="80" fillId="5" borderId="0"/>
    <xf numFmtId="0" fontId="73" fillId="5" borderId="0"/>
    <xf numFmtId="0" fontId="15" fillId="0" borderId="41" applyNumberFormat="0" applyAlignment="0"/>
    <xf numFmtId="0" fontId="15" fillId="0" borderId="41" applyNumberFormat="0" applyAlignment="0"/>
    <xf numFmtId="0" fontId="15" fillId="0" borderId="41" applyNumberFormat="0" applyAlignment="0"/>
    <xf numFmtId="0" fontId="15" fillId="0" borderId="41" applyNumberFormat="0" applyAlignment="0"/>
    <xf numFmtId="0" fontId="15" fillId="0" borderId="41" applyNumberFormat="0" applyAlignment="0"/>
    <xf numFmtId="0" fontId="15" fillId="0" borderId="41" applyNumberFormat="0" applyAlignment="0"/>
    <xf numFmtId="0" fontId="73" fillId="5" borderId="0"/>
    <xf numFmtId="0" fontId="73" fillId="5" borderId="0"/>
    <xf numFmtId="0" fontId="15" fillId="0" borderId="41" applyNumberFormat="0" applyFill="0"/>
    <xf numFmtId="0" fontId="15" fillId="0" borderId="41" applyNumberFormat="0" applyFill="0"/>
    <xf numFmtId="0" fontId="15" fillId="0" borderId="41" applyNumberFormat="0" applyFill="0"/>
    <xf numFmtId="0" fontId="15" fillId="0" borderId="41" applyNumberFormat="0" applyFill="0"/>
    <xf numFmtId="0" fontId="15" fillId="0" borderId="41" applyNumberFormat="0" applyFill="0"/>
    <xf numFmtId="0" fontId="80" fillId="5" borderId="0"/>
    <xf numFmtId="0" fontId="80" fillId="5" borderId="0"/>
    <xf numFmtId="0" fontId="80" fillId="5" borderId="0"/>
    <xf numFmtId="0" fontId="76" fillId="0" borderId="2" applyNumberFormat="0" applyFont="0" applyBorder="0" applyAlignment="0">
      <alignment horizontal="center"/>
    </xf>
    <xf numFmtId="0" fontId="76" fillId="0" borderId="2" applyNumberFormat="0" applyFont="0" applyBorder="0" applyAlignment="0">
      <alignment horizontal="center"/>
    </xf>
    <xf numFmtId="0" fontId="76" fillId="0" borderId="2" applyNumberFormat="0" applyFont="0" applyBorder="0" applyAlignment="0">
      <alignment horizontal="center"/>
    </xf>
    <xf numFmtId="0" fontId="15" fillId="0" borderId="0"/>
    <xf numFmtId="0" fontId="15" fillId="0" borderId="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6" fillId="0" borderId="0"/>
    <xf numFmtId="0" fontId="6" fillId="0" borderId="0"/>
    <xf numFmtId="0" fontId="83" fillId="5" borderId="0"/>
    <xf numFmtId="0" fontId="73" fillId="5" borderId="0"/>
    <xf numFmtId="0" fontId="83" fillId="6" borderId="0"/>
    <xf numFmtId="0" fontId="73" fillId="5" borderId="0"/>
    <xf numFmtId="0" fontId="73" fillId="5" borderId="0"/>
    <xf numFmtId="0" fontId="15" fillId="5" borderId="0"/>
    <xf numFmtId="0" fontId="15" fillId="5" borderId="0"/>
    <xf numFmtId="0" fontId="73" fillId="5" borderId="0"/>
    <xf numFmtId="0" fontId="73" fillId="5" borderId="0"/>
    <xf numFmtId="0" fontId="83" fillId="5" borderId="0"/>
    <xf numFmtId="0" fontId="73" fillId="5" borderId="0"/>
    <xf numFmtId="0" fontId="73" fillId="5" borderId="0"/>
    <xf numFmtId="0" fontId="73" fillId="5" borderId="0"/>
    <xf numFmtId="0" fontId="83" fillId="5" borderId="0"/>
    <xf numFmtId="0" fontId="83" fillId="5" borderId="0"/>
    <xf numFmtId="0" fontId="84" fillId="0" borderId="0">
      <alignment wrapText="1"/>
    </xf>
    <xf numFmtId="0" fontId="73" fillId="0" borderId="0">
      <alignment wrapText="1"/>
    </xf>
    <xf numFmtId="0" fontId="84" fillId="0" borderId="0">
      <alignment wrapText="1"/>
    </xf>
    <xf numFmtId="0" fontId="73" fillId="0" borderId="0">
      <alignment wrapText="1"/>
    </xf>
    <xf numFmtId="0" fontId="73" fillId="0" borderId="0">
      <alignment wrapText="1"/>
    </xf>
    <xf numFmtId="0" fontId="15" fillId="0" borderId="0">
      <alignment wrapText="1"/>
    </xf>
    <xf numFmtId="0" fontId="15" fillId="0" borderId="0">
      <alignment wrapText="1"/>
    </xf>
    <xf numFmtId="0" fontId="73" fillId="0" borderId="0">
      <alignment wrapText="1"/>
    </xf>
    <xf numFmtId="0" fontId="73" fillId="0" borderId="0">
      <alignment wrapText="1"/>
    </xf>
    <xf numFmtId="0" fontId="84" fillId="0" borderId="0">
      <alignment wrapText="1"/>
    </xf>
    <xf numFmtId="0" fontId="73" fillId="0" borderId="0">
      <alignment wrapText="1"/>
    </xf>
    <xf numFmtId="0" fontId="73" fillId="0" borderId="0">
      <alignment wrapText="1"/>
    </xf>
    <xf numFmtId="0" fontId="73" fillId="0" borderId="0">
      <alignment wrapText="1"/>
    </xf>
    <xf numFmtId="0" fontId="84" fillId="0" borderId="0">
      <alignment wrapText="1"/>
    </xf>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1" borderId="0" applyNumberFormat="0" applyBorder="0" applyAlignment="0" applyProtection="0"/>
    <xf numFmtId="0" fontId="81" fillId="14" borderId="0" applyNumberFormat="0" applyBorder="0" applyAlignment="0" applyProtection="0"/>
    <xf numFmtId="0" fontId="81" fillId="17"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1" borderId="0" applyNumberFormat="0" applyBorder="0" applyAlignment="0" applyProtection="0"/>
    <xf numFmtId="0" fontId="82" fillId="14" borderId="0" applyNumberFormat="0" applyBorder="0" applyAlignment="0" applyProtection="0"/>
    <xf numFmtId="0" fontId="82" fillId="17" borderId="0" applyNumberFormat="0" applyBorder="0" applyAlignment="0" applyProtection="0"/>
    <xf numFmtId="0" fontId="51" fillId="0" borderId="0"/>
    <xf numFmtId="0" fontId="51" fillId="0" borderId="0"/>
    <xf numFmtId="0" fontId="51" fillId="0" borderId="0"/>
    <xf numFmtId="0" fontId="15" fillId="0" borderId="0"/>
    <xf numFmtId="0" fontId="15" fillId="0" borderId="0"/>
    <xf numFmtId="0" fontId="51" fillId="0" borderId="0"/>
    <xf numFmtId="0" fontId="85" fillId="18"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6" fillId="18"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7" fillId="0" borderId="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5" borderId="0" applyNumberFormat="0" applyBorder="0" applyAlignment="0" applyProtection="0"/>
    <xf numFmtId="234" fontId="6" fillId="0" borderId="0" applyFont="0" applyFill="0" applyBorder="0" applyAlignment="0" applyProtection="0"/>
    <xf numFmtId="0" fontId="88" fillId="0" borderId="0" applyFont="0" applyFill="0" applyBorder="0" applyAlignment="0" applyProtection="0"/>
    <xf numFmtId="231" fontId="89" fillId="0" borderId="0" applyFont="0" applyFill="0" applyBorder="0" applyAlignment="0" applyProtection="0"/>
    <xf numFmtId="235" fontId="6" fillId="0" borderId="0" applyFont="0" applyFill="0" applyBorder="0" applyAlignment="0" applyProtection="0"/>
    <xf numFmtId="0" fontId="88" fillId="0" borderId="0" applyFont="0" applyFill="0" applyBorder="0" applyAlignment="0" applyProtection="0"/>
    <xf numFmtId="236" fontId="89" fillId="0" borderId="0" applyFont="0" applyFill="0" applyBorder="0" applyAlignment="0" applyProtection="0"/>
    <xf numFmtId="0" fontId="45" fillId="0" borderId="0">
      <alignment horizontal="center" wrapText="1"/>
      <protection locked="0"/>
    </xf>
    <xf numFmtId="0" fontId="45" fillId="0" borderId="0">
      <alignment horizontal="center" wrapText="1"/>
      <protection locked="0"/>
    </xf>
    <xf numFmtId="0" fontId="90" fillId="0" borderId="0" applyNumberFormat="0" applyBorder="0" applyAlignment="0">
      <alignment horizontal="center"/>
    </xf>
    <xf numFmtId="221" fontId="91" fillId="0" borderId="0" applyFont="0" applyFill="0" applyBorder="0" applyAlignment="0" applyProtection="0"/>
    <xf numFmtId="0" fontId="88" fillId="0" borderId="0" applyFont="0" applyFill="0" applyBorder="0" applyAlignment="0" applyProtection="0"/>
    <xf numFmtId="221" fontId="91" fillId="0" borderId="0" applyFont="0" applyFill="0" applyBorder="0" applyAlignment="0" applyProtection="0"/>
    <xf numFmtId="203" fontId="91" fillId="0" borderId="0" applyFont="0" applyFill="0" applyBorder="0" applyAlignment="0" applyProtection="0"/>
    <xf numFmtId="0" fontId="88" fillId="0" borderId="0" applyFont="0" applyFill="0" applyBorder="0" applyAlignment="0" applyProtection="0"/>
    <xf numFmtId="203" fontId="91" fillId="0" borderId="0" applyFont="0" applyFill="0" applyBorder="0" applyAlignment="0" applyProtection="0"/>
    <xf numFmtId="183" fontId="47" fillId="0" borderId="0" applyFont="0" applyFill="0" applyBorder="0" applyAlignment="0" applyProtection="0"/>
    <xf numFmtId="0" fontId="6" fillId="0" borderId="0"/>
    <xf numFmtId="0" fontId="92" fillId="9" borderId="0" applyNumberFormat="0" applyBorder="0" applyAlignment="0" applyProtection="0"/>
    <xf numFmtId="0" fontId="93" fillId="0" borderId="0" applyNumberFormat="0" applyFill="0" applyBorder="0" applyAlignment="0" applyProtection="0"/>
    <xf numFmtId="0" fontId="88" fillId="0" borderId="0"/>
    <xf numFmtId="0" fontId="65" fillId="0" borderId="0"/>
    <xf numFmtId="0" fontId="7" fillId="0" borderId="0"/>
    <xf numFmtId="0" fontId="88" fillId="0" borderId="0"/>
    <xf numFmtId="0" fontId="94" fillId="0" borderId="0"/>
    <xf numFmtId="0" fontId="95" fillId="0" borderId="0"/>
    <xf numFmtId="237" fontId="96" fillId="0" borderId="0" applyFill="0" applyBorder="0" applyAlignment="0"/>
    <xf numFmtId="0" fontId="6" fillId="0" borderId="0" applyFill="0" applyBorder="0" applyAlignment="0"/>
    <xf numFmtId="238" fontId="97" fillId="0" borderId="0" applyFill="0" applyBorder="0" applyAlignment="0"/>
    <xf numFmtId="179" fontId="97" fillId="0" borderId="0" applyFill="0" applyBorder="0" applyAlignment="0"/>
    <xf numFmtId="239" fontId="97" fillId="0" borderId="0" applyFill="0" applyBorder="0" applyAlignment="0"/>
    <xf numFmtId="240" fontId="96" fillId="0" borderId="0" applyFill="0" applyBorder="0" applyAlignment="0"/>
    <xf numFmtId="240" fontId="6" fillId="0" borderId="0" applyFill="0" applyBorder="0" applyAlignment="0"/>
    <xf numFmtId="199" fontId="97" fillId="0" borderId="0" applyFill="0" applyBorder="0" applyAlignment="0"/>
    <xf numFmtId="241" fontId="97" fillId="0" borderId="0" applyFill="0" applyBorder="0" applyAlignment="0"/>
    <xf numFmtId="238" fontId="97" fillId="0" borderId="0" applyFill="0" applyBorder="0" applyAlignment="0"/>
    <xf numFmtId="0" fontId="98" fillId="26" borderId="58" applyNumberFormat="0" applyAlignment="0" applyProtection="0"/>
    <xf numFmtId="0" fontId="99" fillId="0" borderId="0"/>
    <xf numFmtId="242" fontId="60" fillId="0" borderId="0" applyFont="0" applyFill="0" applyBorder="0" applyAlignment="0" applyProtection="0"/>
    <xf numFmtId="0" fontId="100" fillId="27" borderId="59" applyNumberFormat="0" applyAlignment="0" applyProtection="0"/>
    <xf numFmtId="167" fontId="101" fillId="0" borderId="0" applyFont="0" applyFill="0" applyBorder="0" applyAlignment="0" applyProtection="0"/>
    <xf numFmtId="4" fontId="102" fillId="0" borderId="0" applyAlignment="0"/>
    <xf numFmtId="0" fontId="96" fillId="0" borderId="0"/>
    <xf numFmtId="1" fontId="103" fillId="0" borderId="5" applyBorder="0"/>
    <xf numFmtId="205" fontId="104" fillId="0" borderId="0" applyFont="0" applyFill="0" applyBorder="0" applyAlignment="0" applyProtection="0"/>
    <xf numFmtId="243" fontId="105" fillId="0" borderId="0"/>
    <xf numFmtId="243" fontId="105" fillId="0" borderId="0"/>
    <xf numFmtId="243" fontId="105" fillId="0" borderId="0"/>
    <xf numFmtId="243" fontId="105" fillId="0" borderId="0"/>
    <xf numFmtId="243" fontId="105" fillId="0" borderId="0"/>
    <xf numFmtId="243" fontId="105" fillId="0" borderId="0"/>
    <xf numFmtId="243" fontId="105" fillId="0" borderId="0"/>
    <xf numFmtId="243" fontId="105" fillId="0" borderId="0"/>
    <xf numFmtId="41" fontId="87" fillId="0" borderId="0" applyFont="0" applyFill="0" applyBorder="0" applyAlignment="0" applyProtection="0"/>
    <xf numFmtId="244" fontId="50" fillId="0" borderId="0" applyFill="0" applyBorder="0" applyAlignment="0" applyProtection="0"/>
    <xf numFmtId="244" fontId="50" fillId="0" borderId="0" applyFill="0" applyBorder="0" applyAlignment="0" applyProtection="0"/>
    <xf numFmtId="244" fontId="50" fillId="0" borderId="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41" fontId="82" fillId="0" borderId="0" applyFont="0" applyFill="0" applyBorder="0" applyAlignment="0" applyProtection="0"/>
    <xf numFmtId="164" fontId="101" fillId="0" borderId="0" applyFont="0" applyFill="0" applyBorder="0" applyAlignment="0" applyProtection="0"/>
    <xf numFmtId="199" fontId="97" fillId="0" borderId="0" applyFont="0" applyFill="0" applyBorder="0" applyAlignment="0" applyProtection="0"/>
    <xf numFmtId="43" fontId="82" fillId="0" borderId="0" applyFont="0" applyFill="0" applyBorder="0" applyAlignment="0" applyProtection="0"/>
    <xf numFmtId="43" fontId="87" fillId="0" borderId="0" applyFont="0" applyFill="0" applyBorder="0" applyAlignment="0" applyProtection="0"/>
    <xf numFmtId="167"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245" fontId="13" fillId="0" borderId="0" applyFont="0" applyFill="0" applyBorder="0" applyAlignment="0" applyProtection="0"/>
    <xf numFmtId="168" fontId="82" fillId="0" borderId="0" applyFont="0" applyFill="0" applyBorder="0" applyAlignment="0" applyProtection="0"/>
    <xf numFmtId="0" fontId="8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04" fontId="6" fillId="0" borderId="0" applyFont="0" applyFill="0" applyBorder="0" applyAlignment="0" applyProtection="0"/>
    <xf numFmtId="204" fontId="6" fillId="0" borderId="0" applyFont="0" applyFill="0" applyBorder="0" applyAlignment="0" applyProtection="0"/>
    <xf numFmtId="43" fontId="8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7" fillId="0" borderId="0" applyFont="0" applyFill="0" applyBorder="0" applyAlignment="0" applyProtection="0"/>
    <xf numFmtId="43" fontId="6" fillId="0" borderId="0" applyFont="0" applyFill="0" applyBorder="0" applyAlignment="0" applyProtection="0"/>
    <xf numFmtId="165" fontId="13" fillId="0" borderId="0" applyFont="0" applyFill="0" applyBorder="0" applyAlignment="0" applyProtection="0"/>
    <xf numFmtId="43" fontId="6" fillId="0" borderId="0" applyFont="0" applyFill="0" applyBorder="0" applyAlignment="0" applyProtection="0"/>
    <xf numFmtId="177" fontId="13" fillId="0" borderId="0" applyFont="0" applyFill="0" applyBorder="0" applyAlignment="0" applyProtection="0"/>
    <xf numFmtId="245" fontId="13" fillId="0" borderId="0" applyFont="0" applyFill="0" applyBorder="0" applyAlignment="0" applyProtection="0"/>
    <xf numFmtId="0" fontId="82" fillId="0" borderId="0" applyFont="0" applyFill="0" applyBorder="0" applyAlignment="0" applyProtection="0"/>
    <xf numFmtId="246" fontId="106" fillId="0" borderId="0" applyFont="0" applyFill="0" applyBorder="0" applyAlignment="0" applyProtection="0"/>
    <xf numFmtId="166" fontId="4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43" fontId="107" fillId="0" borderId="0" applyFont="0" applyFill="0" applyBorder="0" applyAlignment="0" applyProtection="0"/>
    <xf numFmtId="169" fontId="13" fillId="0" borderId="0" applyFont="0" applyFill="0" applyBorder="0" applyAlignment="0" applyProtection="0"/>
    <xf numFmtId="43" fontId="108" fillId="0" borderId="0" applyFont="0" applyFill="0" applyBorder="0" applyAlignment="0" applyProtection="0"/>
    <xf numFmtId="43" fontId="96" fillId="0" borderId="0" applyFont="0" applyFill="0" applyBorder="0" applyAlignment="0" applyProtection="0"/>
    <xf numFmtId="43" fontId="87" fillId="0" borderId="0" applyFont="0" applyFill="0" applyBorder="0" applyAlignment="0" applyProtection="0"/>
    <xf numFmtId="247" fontId="109" fillId="0" borderId="0" applyFont="0" applyFill="0" applyBorder="0" applyAlignment="0" applyProtection="0"/>
    <xf numFmtId="248" fontId="61" fillId="0" borderId="0"/>
    <xf numFmtId="249" fontId="7" fillId="0" borderId="0"/>
    <xf numFmtId="3" fontId="6" fillId="0" borderId="0" applyFont="0" applyFill="0" applyBorder="0" applyAlignment="0" applyProtection="0"/>
    <xf numFmtId="0" fontId="110" fillId="0" borderId="0"/>
    <xf numFmtId="0" fontId="97" fillId="0" borderId="0"/>
    <xf numFmtId="3" fontId="50" fillId="0" borderId="0" applyFill="0" applyBorder="0" applyAlignment="0" applyProtection="0"/>
    <xf numFmtId="0" fontId="110" fillId="0" borderId="0"/>
    <xf numFmtId="0" fontId="97" fillId="0" borderId="0"/>
    <xf numFmtId="0" fontId="111" fillId="0" borderId="0">
      <alignment horizontal="center"/>
    </xf>
    <xf numFmtId="0" fontId="112" fillId="0" borderId="0" applyNumberFormat="0" applyAlignment="0">
      <alignment horizontal="left"/>
    </xf>
    <xf numFmtId="250" fontId="65" fillId="0" borderId="0" applyFont="0" applyFill="0" applyBorder="0" applyAlignment="0" applyProtection="0"/>
    <xf numFmtId="238" fontId="97" fillId="0" borderId="0" applyFont="0" applyFill="0" applyBorder="0" applyAlignment="0" applyProtection="0"/>
    <xf numFmtId="251" fontId="47"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2"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4" fontId="15" fillId="0" borderId="0" applyFont="0" applyFill="0" applyBorder="0" applyAlignment="0" applyProtection="0"/>
    <xf numFmtId="255" fontId="61" fillId="0" borderId="0"/>
    <xf numFmtId="256" fontId="6" fillId="0" borderId="0"/>
    <xf numFmtId="237" fontId="15" fillId="0" borderId="60"/>
    <xf numFmtId="237" fontId="15" fillId="0" borderId="60"/>
    <xf numFmtId="0" fontId="6" fillId="0" borderId="0" applyFont="0" applyFill="0" applyBorder="0" applyAlignment="0" applyProtection="0"/>
    <xf numFmtId="14" fontId="62" fillId="0" borderId="0" applyFill="0" applyBorder="0" applyAlignment="0"/>
    <xf numFmtId="14" fontId="62" fillId="0" borderId="0" applyFill="0" applyBorder="0" applyAlignment="0"/>
    <xf numFmtId="0" fontId="6" fillId="0" borderId="0" applyFont="0" applyFill="0" applyBorder="0" applyAlignment="0" applyProtection="0"/>
    <xf numFmtId="41" fontId="113" fillId="0" borderId="0" applyFont="0" applyFill="0" applyBorder="0" applyAlignment="0" applyProtection="0"/>
    <xf numFmtId="0" fontId="114" fillId="26" borderId="61" applyNumberFormat="0" applyAlignment="0" applyProtection="0"/>
    <xf numFmtId="0" fontId="115" fillId="13" borderId="58" applyNumberFormat="0" applyAlignment="0" applyProtection="0"/>
    <xf numFmtId="3" fontId="116" fillId="0" borderId="4">
      <alignment horizontal="left" vertical="top" wrapText="1"/>
    </xf>
    <xf numFmtId="0" fontId="117" fillId="0" borderId="62" applyNumberFormat="0" applyFill="0" applyAlignment="0" applyProtection="0"/>
    <xf numFmtId="0" fontId="118" fillId="0" borderId="63" applyNumberFormat="0" applyFill="0" applyAlignment="0" applyProtection="0"/>
    <xf numFmtId="0" fontId="119" fillId="0" borderId="64" applyNumberFormat="0" applyFill="0" applyAlignment="0" applyProtection="0"/>
    <xf numFmtId="0" fontId="119" fillId="0" borderId="0" applyNumberFormat="0" applyFill="0" applyBorder="0" applyAlignment="0" applyProtection="0"/>
    <xf numFmtId="257" fontId="50" fillId="0" borderId="0" applyFill="0" applyBorder="0" applyProtection="0">
      <alignment vertical="center"/>
    </xf>
    <xf numFmtId="258" fontId="15" fillId="0" borderId="0" applyFont="0" applyFill="0" applyBorder="0" applyProtection="0">
      <alignment vertical="center"/>
    </xf>
    <xf numFmtId="258" fontId="15" fillId="0" borderId="0" applyFont="0" applyFill="0" applyBorder="0" applyProtection="0">
      <alignment vertical="center"/>
    </xf>
    <xf numFmtId="258" fontId="15" fillId="0" borderId="0" applyFont="0" applyFill="0" applyBorder="0" applyProtection="0">
      <alignment vertical="center"/>
    </xf>
    <xf numFmtId="259" fontId="6" fillId="0" borderId="65">
      <alignment vertical="center"/>
    </xf>
    <xf numFmtId="259" fontId="6" fillId="0" borderId="65">
      <alignment vertical="center"/>
    </xf>
    <xf numFmtId="0" fontId="6" fillId="0" borderId="0" applyFont="0" applyFill="0" applyBorder="0" applyAlignment="0" applyProtection="0"/>
    <xf numFmtId="0" fontId="6" fillId="0" borderId="0" applyFont="0" applyFill="0" applyBorder="0" applyAlignment="0" applyProtection="0"/>
    <xf numFmtId="260" fontId="15" fillId="0" borderId="0"/>
    <xf numFmtId="261" fontId="51" fillId="0" borderId="2"/>
    <xf numFmtId="261" fontId="51" fillId="0" borderId="2"/>
    <xf numFmtId="0" fontId="120" fillId="0" borderId="0">
      <protection locked="0"/>
    </xf>
    <xf numFmtId="262" fontId="61" fillId="0" borderId="0"/>
    <xf numFmtId="263" fontId="6" fillId="0" borderId="0"/>
    <xf numFmtId="264" fontId="51" fillId="0" borderId="0"/>
    <xf numFmtId="264" fontId="51" fillId="0" borderId="0"/>
    <xf numFmtId="0" fontId="104" fillId="0" borderId="0">
      <alignment vertical="top" wrapText="1"/>
    </xf>
    <xf numFmtId="181" fontId="121" fillId="0" borderId="0" applyFont="0" applyFill="0" applyBorder="0" applyAlignment="0" applyProtection="0"/>
    <xf numFmtId="191" fontId="121" fillId="0" borderId="0" applyFont="0" applyFill="0" applyBorder="0" applyAlignment="0" applyProtection="0"/>
    <xf numFmtId="181" fontId="121" fillId="0" borderId="0" applyFont="0" applyFill="0" applyBorder="0" applyAlignment="0" applyProtection="0"/>
    <xf numFmtId="41" fontId="121"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181" fontId="121" fillId="0" borderId="0" applyFont="0" applyFill="0" applyBorder="0" applyAlignment="0" applyProtection="0"/>
    <xf numFmtId="181" fontId="121"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5" fontId="6" fillId="0" borderId="0" applyFont="0" applyFill="0" applyBorder="0" applyAlignment="0" applyProtection="0"/>
    <xf numFmtId="266" fontId="15" fillId="0" borderId="0" applyFont="0" applyFill="0" applyBorder="0" applyAlignment="0" applyProtection="0"/>
    <xf numFmtId="266" fontId="15" fillId="0" borderId="0" applyFont="0" applyFill="0" applyBorder="0" applyAlignment="0" applyProtection="0"/>
    <xf numFmtId="266" fontId="15" fillId="0" borderId="0" applyFont="0" applyFill="0" applyBorder="0" applyAlignment="0" applyProtection="0"/>
    <xf numFmtId="266"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267" fontId="15"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41" fontId="121" fillId="0" borderId="0" applyFont="0" applyFill="0" applyBorder="0" applyAlignment="0" applyProtection="0"/>
    <xf numFmtId="41"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81" fontId="121" fillId="0" borderId="0" applyFont="0" applyFill="0" applyBorder="0" applyAlignment="0" applyProtection="0"/>
    <xf numFmtId="164" fontId="121" fillId="0" borderId="0" applyFont="0" applyFill="0" applyBorder="0" applyAlignment="0" applyProtection="0"/>
    <xf numFmtId="181" fontId="121" fillId="0" borderId="0" applyFont="0" applyFill="0" applyBorder="0" applyAlignment="0" applyProtection="0"/>
    <xf numFmtId="41" fontId="121" fillId="0" borderId="0" applyFont="0" applyFill="0" applyBorder="0" applyAlignment="0" applyProtection="0"/>
    <xf numFmtId="41"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91" fontId="121" fillId="0" borderId="0" applyFont="0" applyFill="0" applyBorder="0" applyAlignment="0" applyProtection="0"/>
    <xf numFmtId="43" fontId="121"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191" fontId="121" fillId="0" borderId="0" applyFont="0" applyFill="0" applyBorder="0" applyAlignment="0" applyProtection="0"/>
    <xf numFmtId="191" fontId="121"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8" fontId="6" fillId="0" borderId="0" applyFont="0" applyFill="0" applyBorder="0" applyAlignment="0" applyProtection="0"/>
    <xf numFmtId="269" fontId="15" fillId="0" borderId="0" applyFont="0" applyFill="0" applyBorder="0" applyAlignment="0" applyProtection="0"/>
    <xf numFmtId="269" fontId="15" fillId="0" borderId="0" applyFont="0" applyFill="0" applyBorder="0" applyAlignment="0" applyProtection="0"/>
    <xf numFmtId="269" fontId="15" fillId="0" borderId="0" applyFont="0" applyFill="0" applyBorder="0" applyAlignment="0" applyProtection="0"/>
    <xf numFmtId="269"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91" fontId="121" fillId="0" borderId="0" applyFont="0" applyFill="0" applyBorder="0" applyAlignment="0" applyProtection="0"/>
    <xf numFmtId="165" fontId="121" fillId="0" borderId="0" applyFont="0" applyFill="0" applyBorder="0" applyAlignment="0" applyProtection="0"/>
    <xf numFmtId="191"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165" fontId="121" fillId="0" borderId="0" applyFont="0" applyFill="0" applyBorder="0" applyAlignment="0" applyProtection="0"/>
    <xf numFmtId="3" fontId="15" fillId="0" borderId="0" applyFont="0" applyBorder="0" applyAlignment="0"/>
    <xf numFmtId="0" fontId="122" fillId="0" borderId="0">
      <protection locked="0"/>
    </xf>
    <xf numFmtId="0" fontId="122" fillId="0" borderId="0">
      <protection locked="0"/>
    </xf>
    <xf numFmtId="199" fontId="97" fillId="0" borderId="0" applyFill="0" applyBorder="0" applyAlignment="0"/>
    <xf numFmtId="238" fontId="97" fillId="0" borderId="0" applyFill="0" applyBorder="0" applyAlignment="0"/>
    <xf numFmtId="199" fontId="97" fillId="0" borderId="0" applyFill="0" applyBorder="0" applyAlignment="0"/>
    <xf numFmtId="241" fontId="97" fillId="0" borderId="0" applyFill="0" applyBorder="0" applyAlignment="0"/>
    <xf numFmtId="238" fontId="97" fillId="0" borderId="0" applyFill="0" applyBorder="0" applyAlignment="0"/>
    <xf numFmtId="0" fontId="123" fillId="0" borderId="0" applyNumberFormat="0" applyAlignment="0">
      <alignment horizontal="left"/>
    </xf>
    <xf numFmtId="166" fontId="124" fillId="0" borderId="0">
      <protection locked="0"/>
    </xf>
    <xf numFmtId="166" fontId="124" fillId="0" borderId="0">
      <protection locked="0"/>
    </xf>
    <xf numFmtId="271" fontId="15" fillId="0" borderId="0" applyFont="0" applyFill="0" applyBorder="0" applyAlignment="0" applyProtection="0"/>
    <xf numFmtId="272" fontId="6" fillId="0" borderId="0" applyFont="0" applyFill="0" applyBorder="0" applyAlignment="0" applyProtection="0"/>
    <xf numFmtId="0" fontId="125" fillId="0" borderId="0"/>
    <xf numFmtId="0" fontId="126" fillId="0" borderId="0" applyNumberFormat="0" applyFill="0" applyBorder="0" applyAlignment="0" applyProtection="0"/>
    <xf numFmtId="3" fontId="15" fillId="0" borderId="0" applyFont="0" applyBorder="0" applyAlignment="0"/>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0" fontId="120" fillId="0" borderId="0">
      <protection locked="0"/>
    </xf>
    <xf numFmtId="4" fontId="120" fillId="0" borderId="0">
      <protection locked="0"/>
    </xf>
    <xf numFmtId="0" fontId="120" fillId="0" borderId="0">
      <protection locked="0"/>
    </xf>
    <xf numFmtId="273" fontId="15" fillId="0" borderId="0">
      <protection locked="0"/>
    </xf>
    <xf numFmtId="273" fontId="15" fillId="0" borderId="0">
      <protection locked="0"/>
    </xf>
    <xf numFmtId="2" fontId="6" fillId="0" borderId="0" applyFont="0" applyFill="0" applyBorder="0" applyAlignment="0" applyProtection="0"/>
    <xf numFmtId="0" fontId="127" fillId="0" borderId="0" applyNumberFormat="0" applyFill="0" applyBorder="0" applyAlignment="0" applyProtection="0"/>
    <xf numFmtId="0" fontId="128" fillId="0" borderId="0" applyNumberFormat="0" applyFill="0" applyBorder="0" applyProtection="0">
      <alignment vertical="center"/>
    </xf>
    <xf numFmtId="0" fontId="129" fillId="0" borderId="0" applyNumberFormat="0" applyFill="0" applyBorder="0" applyAlignment="0" applyProtection="0"/>
    <xf numFmtId="0" fontId="130" fillId="0" borderId="0" applyNumberFormat="0" applyFill="0" applyBorder="0" applyProtection="0">
      <alignment vertical="center"/>
    </xf>
    <xf numFmtId="0" fontId="131" fillId="0" borderId="0" applyNumberFormat="0" applyFill="0" applyBorder="0" applyAlignment="0" applyProtection="0"/>
    <xf numFmtId="0" fontId="132" fillId="0" borderId="0" applyNumberFormat="0" applyFill="0" applyBorder="0" applyAlignment="0" applyProtection="0"/>
    <xf numFmtId="274" fontId="49" fillId="0" borderId="66" applyNumberFormat="0" applyFill="0" applyBorder="0" applyAlignment="0" applyProtection="0"/>
    <xf numFmtId="0" fontId="133" fillId="0" borderId="0" applyNumberFormat="0" applyFill="0" applyBorder="0" applyAlignment="0" applyProtection="0"/>
    <xf numFmtId="0" fontId="134" fillId="28" borderId="67" applyNumberFormat="0" applyAlignment="0">
      <protection locked="0"/>
    </xf>
    <xf numFmtId="0" fontId="6" fillId="29" borderId="68" applyNumberFormat="0" applyFont="0" applyAlignment="0" applyProtection="0"/>
    <xf numFmtId="0" fontId="6" fillId="29" borderId="68" applyNumberFormat="0" applyFont="0" applyAlignment="0" applyProtection="0"/>
    <xf numFmtId="0" fontId="135" fillId="0" borderId="0">
      <alignment vertical="top" wrapText="1"/>
    </xf>
    <xf numFmtId="0" fontId="136" fillId="10" borderId="0" applyNumberFormat="0" applyBorder="0" applyAlignment="0" applyProtection="0"/>
    <xf numFmtId="38" fontId="16" fillId="2" borderId="0" applyNumberFormat="0" applyBorder="0" applyAlignment="0" applyProtection="0"/>
    <xf numFmtId="275" fontId="14" fillId="5" borderId="0" applyBorder="0" applyProtection="0"/>
    <xf numFmtId="0" fontId="137" fillId="0" borderId="38" applyNumberFormat="0" applyFill="0" applyBorder="0" applyAlignment="0" applyProtection="0">
      <alignment horizontal="center" vertical="center"/>
    </xf>
    <xf numFmtId="0" fontId="138" fillId="0" borderId="0" applyNumberFormat="0" applyFont="0" applyBorder="0" applyAlignment="0">
      <alignment horizontal="left" vertical="center"/>
    </xf>
    <xf numFmtId="276" fontId="65" fillId="0" borderId="0" applyFont="0" applyFill="0" applyBorder="0" applyAlignment="0" applyProtection="0"/>
    <xf numFmtId="0" fontId="139" fillId="30" borderId="0"/>
    <xf numFmtId="0" fontId="140" fillId="0" borderId="0">
      <alignment horizontal="left"/>
    </xf>
    <xf numFmtId="0" fontId="141" fillId="0" borderId="69" applyNumberFormat="0" applyAlignment="0" applyProtection="0">
      <alignment horizontal="left" vertical="center"/>
    </xf>
    <xf numFmtId="0" fontId="141" fillId="0" borderId="26">
      <alignment horizontal="left" vertical="center"/>
    </xf>
    <xf numFmtId="0" fontId="142" fillId="0" borderId="0" applyNumberFormat="0" applyFill="0" applyBorder="0" applyAlignment="0" applyProtection="0"/>
    <xf numFmtId="0" fontId="141" fillId="0" borderId="0" applyNumberFormat="0" applyFill="0" applyBorder="0" applyAlignment="0" applyProtection="0"/>
    <xf numFmtId="0" fontId="143" fillId="0" borderId="64" applyNumberFormat="0" applyFill="0" applyAlignment="0" applyProtection="0"/>
    <xf numFmtId="0" fontId="143" fillId="0" borderId="0" applyNumberFormat="0" applyFill="0" applyBorder="0" applyAlignment="0" applyProtection="0"/>
    <xf numFmtId="0" fontId="142" fillId="0" borderId="0" applyProtection="0"/>
    <xf numFmtId="0" fontId="141" fillId="0" borderId="0" applyProtection="0"/>
    <xf numFmtId="0" fontId="144" fillId="0" borderId="70">
      <alignment horizontal="center"/>
    </xf>
    <xf numFmtId="0" fontId="144" fillId="0" borderId="0">
      <alignment horizontal="center"/>
    </xf>
    <xf numFmtId="5" fontId="145" fillId="31" borderId="2" applyNumberFormat="0" applyAlignment="0">
      <alignment horizontal="left" vertical="top"/>
    </xf>
    <xf numFmtId="0" fontId="146" fillId="0" borderId="0"/>
    <xf numFmtId="49" fontId="147" fillId="0" borderId="2">
      <alignment vertical="center"/>
    </xf>
    <xf numFmtId="0" fontId="7" fillId="0" borderId="0"/>
    <xf numFmtId="181" fontId="15" fillId="0" borderId="0" applyFont="0" applyFill="0" applyBorder="0" applyAlignment="0" applyProtection="0"/>
    <xf numFmtId="38" fontId="61" fillId="0" borderId="0" applyFont="0" applyFill="0" applyBorder="0" applyAlignment="0" applyProtection="0"/>
    <xf numFmtId="38" fontId="61" fillId="0" borderId="0" applyFont="0" applyFill="0" applyBorder="0" applyAlignment="0" applyProtection="0"/>
    <xf numFmtId="194" fontId="60" fillId="0" borderId="0" applyFont="0" applyFill="0" applyBorder="0" applyAlignment="0" applyProtection="0"/>
    <xf numFmtId="277" fontId="148" fillId="0" borderId="0" applyFont="0" applyFill="0" applyBorder="0" applyAlignment="0" applyProtection="0"/>
    <xf numFmtId="10" fontId="16" fillId="2" borderId="2" applyNumberFormat="0" applyBorder="0" applyAlignment="0" applyProtection="0"/>
    <xf numFmtId="0" fontId="149" fillId="13" borderId="58" applyNumberFormat="0" applyAlignment="0" applyProtection="0"/>
    <xf numFmtId="2" fontId="64" fillId="0" borderId="24" applyBorder="0"/>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181" fontId="15" fillId="0" borderId="0" applyFont="0" applyFill="0" applyBorder="0" applyAlignment="0" applyProtection="0"/>
    <xf numFmtId="0" fontId="15" fillId="0" borderId="0"/>
    <xf numFmtId="2" fontId="153" fillId="0" borderId="27" applyBorder="0"/>
    <xf numFmtId="0" fontId="45" fillId="0" borderId="71">
      <alignment horizontal="centerContinuous"/>
    </xf>
    <xf numFmtId="0" fontId="45" fillId="0" borderId="71">
      <alignment horizontal="centerContinuous"/>
    </xf>
    <xf numFmtId="0" fontId="154" fillId="27" borderId="59" applyNumberFormat="0" applyAlignment="0" applyProtection="0"/>
    <xf numFmtId="0" fontId="155" fillId="0" borderId="72">
      <alignment horizontal="center" vertical="center" wrapText="1"/>
    </xf>
    <xf numFmtId="0" fontId="104" fillId="2" borderId="0" applyNumberFormat="0" applyFont="0" applyBorder="0" applyAlignment="0"/>
    <xf numFmtId="0" fontId="104" fillId="2" borderId="0" applyNumberFormat="0" applyFont="0" applyBorder="0" applyAlignment="0"/>
    <xf numFmtId="0" fontId="61" fillId="0" borderId="0"/>
    <xf numFmtId="0" fontId="82" fillId="0" borderId="0"/>
    <xf numFmtId="0" fontId="156" fillId="0" borderId="0"/>
    <xf numFmtId="0" fontId="82" fillId="0" borderId="0"/>
    <xf numFmtId="0" fontId="7" fillId="0" borderId="0" applyNumberFormat="0" applyFont="0" applyFill="0" applyBorder="0" applyProtection="0">
      <alignment horizontal="left" vertical="center"/>
    </xf>
    <xf numFmtId="0" fontId="61" fillId="0" borderId="0"/>
    <xf numFmtId="199" fontId="97" fillId="0" borderId="0" applyFill="0" applyBorder="0" applyAlignment="0"/>
    <xf numFmtId="238" fontId="97" fillId="0" borderId="0" applyFill="0" applyBorder="0" applyAlignment="0"/>
    <xf numFmtId="199" fontId="97" fillId="0" borderId="0" applyFill="0" applyBorder="0" applyAlignment="0"/>
    <xf numFmtId="241" fontId="97" fillId="0" borderId="0" applyFill="0" applyBorder="0" applyAlignment="0"/>
    <xf numFmtId="238" fontId="97" fillId="0" borderId="0" applyFill="0" applyBorder="0" applyAlignment="0"/>
    <xf numFmtId="0" fontId="157" fillId="0" borderId="73" applyNumberFormat="0" applyFill="0" applyAlignment="0" applyProtection="0"/>
    <xf numFmtId="237" fontId="158" fillId="0" borderId="37" applyNumberFormat="0" applyFont="0" applyFill="0" applyBorder="0">
      <alignment horizontal="center"/>
    </xf>
    <xf numFmtId="38" fontId="61" fillId="0" borderId="0" applyFont="0" applyFill="0" applyBorder="0" applyAlignment="0" applyProtection="0"/>
    <xf numFmtId="4" fontId="97" fillId="0" borderId="0" applyFont="0" applyFill="0" applyBorder="0" applyAlignment="0" applyProtection="0"/>
    <xf numFmtId="220" fontId="7" fillId="0" borderId="0" applyFont="0" applyFill="0" applyBorder="0" applyAlignment="0" applyProtection="0"/>
    <xf numFmtId="40" fontId="61" fillId="0" borderId="0" applyFont="0" applyFill="0" applyBorder="0" applyAlignment="0" applyProtection="0"/>
    <xf numFmtId="181" fontId="96" fillId="0" borderId="0" applyFont="0" applyFill="0" applyBorder="0" applyAlignment="0" applyProtection="0"/>
    <xf numFmtId="191" fontId="96" fillId="0" borderId="0" applyFont="0" applyFill="0" applyBorder="0" applyAlignment="0" applyProtection="0"/>
    <xf numFmtId="0" fontId="159" fillId="0" borderId="70"/>
    <xf numFmtId="278" fontId="51" fillId="0" borderId="37"/>
    <xf numFmtId="279" fontId="61" fillId="0" borderId="0" applyFont="0" applyFill="0" applyBorder="0" applyAlignment="0" applyProtection="0"/>
    <xf numFmtId="280" fontId="61" fillId="0" borderId="0" applyFont="0" applyFill="0" applyBorder="0" applyAlignment="0" applyProtection="0"/>
    <xf numFmtId="191" fontId="124" fillId="0" borderId="0">
      <protection locked="0"/>
    </xf>
    <xf numFmtId="281" fontId="96" fillId="0" borderId="0" applyFont="0" applyFill="0" applyBorder="0" applyAlignment="0" applyProtection="0"/>
    <xf numFmtId="282" fontId="96" fillId="0" borderId="0" applyFont="0" applyFill="0" applyBorder="0" applyAlignment="0" applyProtection="0"/>
    <xf numFmtId="0" fontId="156" fillId="0" borderId="0" applyNumberFormat="0" applyFont="0" applyFill="0" applyAlignment="0"/>
    <xf numFmtId="0" fontId="156" fillId="0" borderId="0" applyNumberFormat="0" applyFont="0" applyFill="0" applyAlignment="0"/>
    <xf numFmtId="0" fontId="50" fillId="0" borderId="0" applyNumberFormat="0" applyFill="0" applyAlignment="0"/>
    <xf numFmtId="0" fontId="50" fillId="0" borderId="0" applyNumberFormat="0" applyFill="0" applyAlignment="0"/>
    <xf numFmtId="0" fontId="156" fillId="0" borderId="0" applyNumberFormat="0" applyFont="0" applyFill="0" applyAlignment="0"/>
    <xf numFmtId="0" fontId="160" fillId="32" borderId="0" applyNumberFormat="0" applyBorder="0" applyAlignment="0" applyProtection="0"/>
    <xf numFmtId="0" fontId="65" fillId="0" borderId="2"/>
    <xf numFmtId="0" fontId="65" fillId="0" borderId="2"/>
    <xf numFmtId="0" fontId="7" fillId="0" borderId="0"/>
    <xf numFmtId="0" fontId="7" fillId="0" borderId="0"/>
    <xf numFmtId="0" fontId="51" fillId="0" borderId="3" applyNumberFormat="0" applyAlignment="0">
      <alignment horizontal="center"/>
    </xf>
    <xf numFmtId="0" fontId="51" fillId="0" borderId="3" applyNumberFormat="0" applyAlignment="0">
      <alignment horizontal="center"/>
    </xf>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5" borderId="0" applyNumberFormat="0" applyBorder="0" applyAlignment="0" applyProtection="0"/>
    <xf numFmtId="37" fontId="161" fillId="0" borderId="0"/>
    <xf numFmtId="0" fontId="162" fillId="0" borderId="2" applyNumberFormat="0" applyFont="0" applyFill="0" applyBorder="0" applyAlignment="0">
      <alignment horizontal="center"/>
    </xf>
    <xf numFmtId="0" fontId="163" fillId="0" borderId="0"/>
    <xf numFmtId="0" fontId="96" fillId="0" borderId="0"/>
    <xf numFmtId="283" fontId="15" fillId="0" borderId="0"/>
    <xf numFmtId="283" fontId="15" fillId="0" borderId="0"/>
    <xf numFmtId="283" fontId="15" fillId="0" borderId="0"/>
    <xf numFmtId="283" fontId="15" fillId="0" borderId="0"/>
    <xf numFmtId="284" fontId="63" fillId="0" borderId="0"/>
    <xf numFmtId="284" fontId="63" fillId="0" borderId="0"/>
    <xf numFmtId="284" fontId="63" fillId="0" borderId="0"/>
    <xf numFmtId="285" fontId="15" fillId="0" borderId="0"/>
    <xf numFmtId="0" fontId="164" fillId="0" borderId="0"/>
    <xf numFmtId="0" fontId="165" fillId="0" borderId="0"/>
    <xf numFmtId="0" fontId="113" fillId="0" borderId="0"/>
    <xf numFmtId="0" fontId="165" fillId="0" borderId="0"/>
    <xf numFmtId="0" fontId="13" fillId="0" borderId="0"/>
    <xf numFmtId="0" fontId="6" fillId="0" borderId="0"/>
    <xf numFmtId="0" fontId="1" fillId="0" borderId="0"/>
    <xf numFmtId="0" fontId="87" fillId="0" borderId="0"/>
    <xf numFmtId="0" fontId="15" fillId="0" borderId="0"/>
    <xf numFmtId="0" fontId="13" fillId="0" borderId="0"/>
    <xf numFmtId="0" fontId="65" fillId="0" borderId="0"/>
    <xf numFmtId="0" fontId="96" fillId="0" borderId="0"/>
    <xf numFmtId="0" fontId="87" fillId="0" borderId="0"/>
    <xf numFmtId="0" fontId="166" fillId="0" borderId="0"/>
    <xf numFmtId="0" fontId="166" fillId="0" borderId="0"/>
    <xf numFmtId="0" fontId="15" fillId="0" borderId="0"/>
    <xf numFmtId="0" fontId="13" fillId="0" borderId="0"/>
    <xf numFmtId="0" fontId="113" fillId="0" borderId="0"/>
    <xf numFmtId="0" fontId="13" fillId="0" borderId="0"/>
    <xf numFmtId="0" fontId="13" fillId="0" borderId="0"/>
    <xf numFmtId="0" fontId="13" fillId="0" borderId="0"/>
    <xf numFmtId="0" fontId="13" fillId="0" borderId="0"/>
    <xf numFmtId="0" fontId="1" fillId="0" borderId="0"/>
    <xf numFmtId="0" fontId="167" fillId="0" borderId="0"/>
    <xf numFmtId="0" fontId="43" fillId="0" borderId="0"/>
    <xf numFmtId="0" fontId="15" fillId="0" borderId="0"/>
    <xf numFmtId="0" fontId="166" fillId="0" borderId="0"/>
    <xf numFmtId="0" fontId="96" fillId="0" borderId="0"/>
    <xf numFmtId="0" fontId="1" fillId="0" borderId="0"/>
    <xf numFmtId="0" fontId="168" fillId="0" borderId="0"/>
    <xf numFmtId="0" fontId="87" fillId="0" borderId="0"/>
    <xf numFmtId="0" fontId="168" fillId="0" borderId="0" applyProtection="0"/>
    <xf numFmtId="0" fontId="168" fillId="0" borderId="0" applyProtection="0"/>
    <xf numFmtId="0" fontId="168" fillId="0" borderId="0" applyProtection="0"/>
    <xf numFmtId="0" fontId="168" fillId="0" borderId="0" applyProtection="0"/>
    <xf numFmtId="0" fontId="168" fillId="0" borderId="0" applyProtection="0"/>
    <xf numFmtId="0" fontId="169" fillId="0" borderId="0"/>
    <xf numFmtId="0" fontId="6" fillId="0" borderId="0"/>
    <xf numFmtId="0" fontId="15" fillId="0" borderId="0"/>
    <xf numFmtId="0" fontId="15" fillId="0" borderId="0"/>
    <xf numFmtId="0" fontId="13" fillId="0" borderId="0"/>
    <xf numFmtId="0" fontId="106" fillId="0" borderId="0"/>
    <xf numFmtId="0" fontId="82" fillId="0" borderId="0"/>
    <xf numFmtId="0" fontId="82" fillId="0" borderId="0"/>
    <xf numFmtId="0" fontId="168" fillId="0" borderId="0"/>
    <xf numFmtId="0" fontId="13" fillId="0" borderId="0"/>
    <xf numFmtId="0" fontId="43" fillId="0" borderId="0"/>
    <xf numFmtId="0" fontId="108" fillId="0" borderId="0"/>
    <xf numFmtId="0" fontId="6" fillId="0" borderId="0"/>
    <xf numFmtId="0" fontId="6" fillId="0" borderId="0"/>
    <xf numFmtId="0" fontId="106" fillId="0" borderId="0"/>
    <xf numFmtId="0" fontId="170" fillId="0" borderId="0"/>
    <xf numFmtId="0" fontId="106" fillId="0" borderId="0"/>
    <xf numFmtId="0" fontId="87" fillId="0" borderId="0"/>
    <xf numFmtId="0" fontId="171" fillId="0" borderId="0" applyNumberFormat="0" applyFill="0" applyBorder="0" applyProtection="0">
      <alignment vertical="top"/>
    </xf>
    <xf numFmtId="0" fontId="13" fillId="0" borderId="0"/>
    <xf numFmtId="0" fontId="15" fillId="0" borderId="0"/>
    <xf numFmtId="0" fontId="82" fillId="0" borderId="0"/>
    <xf numFmtId="0" fontId="1" fillId="0" borderId="0"/>
    <xf numFmtId="0" fontId="1" fillId="0" borderId="0"/>
    <xf numFmtId="0" fontId="1" fillId="0" borderId="0"/>
    <xf numFmtId="0" fontId="6" fillId="0" borderId="0"/>
    <xf numFmtId="0" fontId="15" fillId="0" borderId="0"/>
    <xf numFmtId="0" fontId="71" fillId="0" borderId="0" applyFont="0"/>
    <xf numFmtId="0" fontId="172" fillId="0" borderId="0">
      <alignment horizontal="left" vertical="top"/>
    </xf>
    <xf numFmtId="0" fontId="97" fillId="2" borderId="0"/>
    <xf numFmtId="0" fontId="121" fillId="0" borderId="0"/>
    <xf numFmtId="0" fontId="6" fillId="29" borderId="68" applyNumberFormat="0" applyFont="0" applyAlignment="0" applyProtection="0"/>
    <xf numFmtId="286" fontId="66" fillId="0" borderId="0" applyFont="0" applyFill="0" applyBorder="0" applyProtection="0">
      <alignment vertical="top" wrapText="1"/>
    </xf>
    <xf numFmtId="0" fontId="173" fillId="0" borderId="73" applyNumberFormat="0" applyFill="0" applyAlignment="0" applyProtection="0"/>
    <xf numFmtId="0" fontId="51" fillId="0" borderId="0"/>
    <xf numFmtId="191" fontId="69" fillId="0" borderId="0" applyFont="0" applyFill="0" applyBorder="0" applyAlignment="0" applyProtection="0"/>
    <xf numFmtId="181" fontId="69" fillId="0" borderId="0" applyFon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 fillId="0" borderId="0" applyFont="0" applyFill="0" applyBorder="0" applyAlignment="0" applyProtection="0"/>
    <xf numFmtId="0" fontId="7" fillId="0" borderId="0"/>
    <xf numFmtId="0" fontId="175" fillId="26" borderId="61" applyNumberFormat="0" applyAlignment="0" applyProtection="0"/>
    <xf numFmtId="167" fontId="176" fillId="0" borderId="3" applyFont="0" applyBorder="0" applyAlignment="0"/>
    <xf numFmtId="0" fontId="177" fillId="2" borderId="0"/>
    <xf numFmtId="164" fontId="6" fillId="0" borderId="0" applyFont="0" applyFill="0" applyBorder="0" applyAlignment="0" applyProtection="0"/>
    <xf numFmtId="164" fontId="6" fillId="0" borderId="0" applyFont="0" applyFill="0" applyBorder="0" applyAlignment="0" applyProtection="0"/>
    <xf numFmtId="14" fontId="45" fillId="0" borderId="0">
      <alignment horizontal="center" wrapText="1"/>
      <protection locked="0"/>
    </xf>
    <xf numFmtId="14" fontId="45" fillId="0" borderId="0">
      <alignment horizontal="center" wrapText="1"/>
      <protection locked="0"/>
    </xf>
    <xf numFmtId="240" fontId="96" fillId="0" borderId="0" applyFont="0" applyFill="0" applyBorder="0" applyAlignment="0" applyProtection="0"/>
    <xf numFmtId="240" fontId="6" fillId="0" borderId="0" applyFont="0" applyFill="0" applyBorder="0" applyAlignment="0" applyProtection="0"/>
    <xf numFmtId="253" fontId="96" fillId="0" borderId="0" applyFont="0" applyFill="0" applyBorder="0" applyAlignment="0" applyProtection="0"/>
    <xf numFmtId="253" fontId="6" fillId="0" borderId="0" applyFont="0" applyFill="0" applyBorder="0" applyAlignment="0" applyProtection="0"/>
    <xf numFmtId="10" fontId="9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82" fillId="0" borderId="0" applyFont="0" applyFill="0" applyBorder="0" applyAlignment="0" applyProtection="0"/>
    <xf numFmtId="9" fontId="87" fillId="0" borderId="0" applyFont="0" applyFill="0" applyBorder="0" applyAlignment="0" applyProtection="0"/>
    <xf numFmtId="9" fontId="61" fillId="0" borderId="74" applyNumberFormat="0" applyBorder="0"/>
    <xf numFmtId="0" fontId="6" fillId="0" borderId="0"/>
    <xf numFmtId="167" fontId="124" fillId="0" borderId="0">
      <protection locked="0"/>
    </xf>
    <xf numFmtId="199" fontId="97" fillId="0" borderId="0" applyFill="0" applyBorder="0" applyAlignment="0"/>
    <xf numFmtId="238" fontId="97" fillId="0" borderId="0" applyFill="0" applyBorder="0" applyAlignment="0"/>
    <xf numFmtId="199" fontId="97" fillId="0" borderId="0" applyFill="0" applyBorder="0" applyAlignment="0"/>
    <xf numFmtId="241" fontId="97" fillId="0" borderId="0" applyFill="0" applyBorder="0" applyAlignment="0"/>
    <xf numFmtId="238" fontId="97" fillId="0" borderId="0" applyFill="0" applyBorder="0" applyAlignment="0"/>
    <xf numFmtId="0" fontId="178" fillId="0" borderId="0"/>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179" fillId="0" borderId="70">
      <alignment horizontal="center"/>
    </xf>
    <xf numFmtId="0" fontId="180" fillId="33" borderId="0" applyNumberFormat="0" applyFont="0" applyBorder="0" applyAlignment="0">
      <alignment horizontal="center"/>
    </xf>
    <xf numFmtId="14" fontId="181" fillId="0" borderId="0" applyNumberFormat="0" applyFill="0" applyBorder="0" applyAlignment="0" applyProtection="0">
      <alignment horizontal="left"/>
    </xf>
    <xf numFmtId="0" fontId="151" fillId="0" borderId="0" applyNumberFormat="0" applyFill="0" applyBorder="0" applyAlignment="0" applyProtection="0">
      <alignment vertical="top"/>
      <protection locked="0"/>
    </xf>
    <xf numFmtId="0" fontId="51" fillId="0" borderId="0"/>
    <xf numFmtId="194" fontId="60"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 fontId="182" fillId="34" borderId="75" applyNumberFormat="0" applyProtection="0">
      <alignment vertical="center"/>
    </xf>
    <xf numFmtId="4" fontId="183" fillId="34" borderId="75" applyNumberFormat="0" applyProtection="0">
      <alignment vertical="center"/>
    </xf>
    <xf numFmtId="4" fontId="184" fillId="34" borderId="75" applyNumberFormat="0" applyProtection="0">
      <alignment horizontal="left" vertical="center" indent="1"/>
    </xf>
    <xf numFmtId="4" fontId="184" fillId="35" borderId="0" applyNumberFormat="0" applyProtection="0">
      <alignment horizontal="left" vertical="center" indent="1"/>
    </xf>
    <xf numFmtId="4" fontId="184" fillId="36" borderId="75" applyNumberFormat="0" applyProtection="0">
      <alignment horizontal="right" vertical="center"/>
    </xf>
    <xf numFmtId="4" fontId="184" fillId="37" borderId="75" applyNumberFormat="0" applyProtection="0">
      <alignment horizontal="right" vertical="center"/>
    </xf>
    <xf numFmtId="4" fontId="184" fillId="38" borderId="75" applyNumberFormat="0" applyProtection="0">
      <alignment horizontal="right" vertical="center"/>
    </xf>
    <xf numFmtId="4" fontId="184" fillId="39" borderId="75" applyNumberFormat="0" applyProtection="0">
      <alignment horizontal="right" vertical="center"/>
    </xf>
    <xf numFmtId="4" fontId="184" fillId="40" borderId="75" applyNumberFormat="0" applyProtection="0">
      <alignment horizontal="right" vertical="center"/>
    </xf>
    <xf numFmtId="4" fontId="184" fillId="41" borderId="75" applyNumberFormat="0" applyProtection="0">
      <alignment horizontal="right" vertical="center"/>
    </xf>
    <xf numFmtId="4" fontId="184" fillId="42" borderId="75" applyNumberFormat="0" applyProtection="0">
      <alignment horizontal="right" vertical="center"/>
    </xf>
    <xf numFmtId="4" fontId="184" fillId="43" borderId="75" applyNumberFormat="0" applyProtection="0">
      <alignment horizontal="right" vertical="center"/>
    </xf>
    <xf numFmtId="4" fontId="184" fillId="44" borderId="75" applyNumberFormat="0" applyProtection="0">
      <alignment horizontal="right" vertical="center"/>
    </xf>
    <xf numFmtId="4" fontId="182" fillId="45" borderId="76" applyNumberFormat="0" applyProtection="0">
      <alignment horizontal="left" vertical="center" indent="1"/>
    </xf>
    <xf numFmtId="4" fontId="182" fillId="46" borderId="0" applyNumberFormat="0" applyProtection="0">
      <alignment horizontal="left" vertical="center" indent="1"/>
    </xf>
    <xf numFmtId="4" fontId="182" fillId="35" borderId="0" applyNumberFormat="0" applyProtection="0">
      <alignment horizontal="left" vertical="center" indent="1"/>
    </xf>
    <xf numFmtId="4" fontId="184" fillId="46" borderId="75" applyNumberFormat="0" applyProtection="0">
      <alignment horizontal="right" vertical="center"/>
    </xf>
    <xf numFmtId="4" fontId="62" fillId="46" borderId="0" applyNumberFormat="0" applyProtection="0">
      <alignment horizontal="left" vertical="center" indent="1"/>
    </xf>
    <xf numFmtId="4" fontId="62" fillId="46" borderId="0" applyNumberFormat="0" applyProtection="0">
      <alignment horizontal="left" vertical="center" indent="1"/>
    </xf>
    <xf numFmtId="4" fontId="62" fillId="35" borderId="0" applyNumberFormat="0" applyProtection="0">
      <alignment horizontal="left" vertical="center" indent="1"/>
    </xf>
    <xf numFmtId="4" fontId="62" fillId="35" borderId="0" applyNumberFormat="0" applyProtection="0">
      <alignment horizontal="left" vertical="center" indent="1"/>
    </xf>
    <xf numFmtId="4" fontId="184" fillId="47" borderId="75" applyNumberFormat="0" applyProtection="0">
      <alignment vertical="center"/>
    </xf>
    <xf numFmtId="4" fontId="185" fillId="47" borderId="75" applyNumberFormat="0" applyProtection="0">
      <alignment vertical="center"/>
    </xf>
    <xf numFmtId="4" fontId="182" fillId="46" borderId="77" applyNumberFormat="0" applyProtection="0">
      <alignment horizontal="left" vertical="center" indent="1"/>
    </xf>
    <xf numFmtId="4" fontId="184" fillId="47" borderId="75" applyNumberFormat="0" applyProtection="0">
      <alignment horizontal="right" vertical="center"/>
    </xf>
    <xf numFmtId="4" fontId="185" fillId="47" borderId="75" applyNumberFormat="0" applyProtection="0">
      <alignment horizontal="right" vertical="center"/>
    </xf>
    <xf numFmtId="4" fontId="182" fillId="46" borderId="75" applyNumberFormat="0" applyProtection="0">
      <alignment horizontal="left" vertical="center" indent="1"/>
    </xf>
    <xf numFmtId="4" fontId="186" fillId="31" borderId="77" applyNumberFormat="0" applyProtection="0">
      <alignment horizontal="left" vertical="center" indent="1"/>
    </xf>
    <xf numFmtId="4" fontId="187" fillId="47" borderId="75" applyNumberFormat="0" applyProtection="0">
      <alignment horizontal="right" vertical="center"/>
    </xf>
    <xf numFmtId="287" fontId="188" fillId="0" borderId="0" applyFont="0" applyFill="0" applyBorder="0" applyAlignment="0" applyProtection="0"/>
    <xf numFmtId="0" fontId="180" fillId="1" borderId="26" applyNumberFormat="0" applyFont="0" applyAlignment="0">
      <alignment horizontal="center"/>
    </xf>
    <xf numFmtId="4" fontId="6" fillId="0" borderId="4" applyBorder="0"/>
    <xf numFmtId="2" fontId="6" fillId="0" borderId="4"/>
    <xf numFmtId="288" fontId="6" fillId="0" borderId="0"/>
    <xf numFmtId="3" fontId="47" fillId="0" borderId="0"/>
    <xf numFmtId="0" fontId="189" fillId="0" borderId="0" applyNumberFormat="0" applyFill="0" applyBorder="0" applyAlignment="0">
      <alignment horizontal="center"/>
    </xf>
    <xf numFmtId="0" fontId="190" fillId="0" borderId="78" applyNumberFormat="0" applyFill="0" applyBorder="0" applyAlignment="0" applyProtection="0"/>
    <xf numFmtId="1" fontId="6" fillId="0" borderId="0"/>
    <xf numFmtId="1" fontId="6" fillId="0" borderId="0"/>
    <xf numFmtId="167" fontId="191" fillId="0" borderId="0" applyNumberFormat="0" applyBorder="0" applyAlignment="0">
      <alignment horizontal="centerContinuous"/>
    </xf>
    <xf numFmtId="0" fontId="15" fillId="0" borderId="4">
      <alignment horizontal="center"/>
    </xf>
    <xf numFmtId="0" fontId="62" fillId="0" borderId="0">
      <alignment vertical="top"/>
    </xf>
    <xf numFmtId="167" fontId="101" fillId="0" borderId="0" applyFont="0" applyFill="0" applyBorder="0" applyAlignment="0" applyProtection="0"/>
    <xf numFmtId="167" fontId="101" fillId="0" borderId="0" applyFont="0" applyFill="0" applyBorder="0" applyAlignment="0" applyProtection="0"/>
    <xf numFmtId="222" fontId="60" fillId="0" borderId="0" applyFont="0" applyFill="0" applyBorder="0" applyAlignment="0" applyProtection="0"/>
    <xf numFmtId="224" fontId="60" fillId="0" borderId="0" applyFont="0" applyFill="0" applyBorder="0" applyAlignment="0" applyProtection="0"/>
    <xf numFmtId="224" fontId="60" fillId="0" borderId="0" applyFont="0" applyFill="0" applyBorder="0" applyAlignment="0" applyProtection="0"/>
    <xf numFmtId="194" fontId="60" fillId="0" borderId="0" applyFont="0" applyFill="0" applyBorder="0" applyAlignment="0" applyProtection="0"/>
    <xf numFmtId="227"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228" fontId="47"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192" fontId="64" fillId="0" borderId="0" applyFont="0" applyFill="0" applyBorder="0" applyAlignment="0" applyProtection="0"/>
    <xf numFmtId="229" fontId="60" fillId="0" borderId="0" applyFont="0" applyFill="0" applyBorder="0" applyAlignment="0" applyProtection="0"/>
    <xf numFmtId="229" fontId="6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99" fontId="64"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229" fontId="60" fillId="0" borderId="0" applyFont="0" applyFill="0" applyBorder="0" applyAlignment="0" applyProtection="0"/>
    <xf numFmtId="192" fontId="64" fillId="0" borderId="0" applyFont="0" applyFill="0" applyBorder="0" applyAlignment="0" applyProtection="0"/>
    <xf numFmtId="230" fontId="65" fillId="0" borderId="0" applyFont="0" applyFill="0" applyBorder="0" applyAlignment="0" applyProtection="0"/>
    <xf numFmtId="222" fontId="60"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8" fontId="60" fillId="0" borderId="0" applyFont="0" applyFill="0" applyBorder="0" applyAlignment="0" applyProtection="0"/>
    <xf numFmtId="195" fontId="47" fillId="0" borderId="0" applyFont="0" applyFill="0" applyBorder="0" applyAlignment="0" applyProtection="0"/>
    <xf numFmtId="196" fontId="60" fillId="0" borderId="0" applyFont="0" applyFill="0" applyBorder="0" applyAlignment="0" applyProtection="0"/>
    <xf numFmtId="197" fontId="60" fillId="0" borderId="0" applyFont="0" applyFill="0" applyBorder="0" applyAlignment="0" applyProtection="0"/>
    <xf numFmtId="196" fontId="60" fillId="0" borderId="0" applyFont="0" applyFill="0" applyBorder="0" applyAlignment="0" applyProtection="0"/>
    <xf numFmtId="192" fontId="63" fillId="0" borderId="0" applyFont="0" applyFill="0" applyBorder="0" applyAlignment="0" applyProtection="0"/>
    <xf numFmtId="192" fontId="60" fillId="0" borderId="0" applyFont="0" applyFill="0" applyBorder="0" applyAlignment="0" applyProtection="0"/>
    <xf numFmtId="198" fontId="47" fillId="0" borderId="0" applyFont="0" applyFill="0" applyBorder="0" applyAlignment="0" applyProtection="0"/>
    <xf numFmtId="192" fontId="60" fillId="0" borderId="0" applyFont="0" applyFill="0" applyBorder="0" applyAlignment="0" applyProtection="0"/>
    <xf numFmtId="196" fontId="60"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92" fontId="63" fillId="0" borderId="0" applyFont="0" applyFill="0" applyBorder="0" applyAlignment="0" applyProtection="0"/>
    <xf numFmtId="214" fontId="60" fillId="0" borderId="0" applyFont="0" applyFill="0" applyBorder="0" applyAlignment="0" applyProtection="0"/>
    <xf numFmtId="195" fontId="47"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216" fontId="60" fillId="0" borderId="0" applyFont="0" applyFill="0" applyBorder="0" applyAlignment="0" applyProtection="0"/>
    <xf numFmtId="217" fontId="64" fillId="0" borderId="0" applyFont="0" applyFill="0" applyBorder="0" applyAlignment="0" applyProtection="0"/>
    <xf numFmtId="216" fontId="60" fillId="0" borderId="0" applyFont="0" applyFill="0" applyBorder="0" applyAlignment="0" applyProtection="0"/>
    <xf numFmtId="215" fontId="64" fillId="0" borderId="0" applyFont="0" applyFill="0" applyBorder="0" applyAlignment="0" applyProtection="0"/>
    <xf numFmtId="216" fontId="60"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95" fontId="60" fillId="0" borderId="0" applyFont="0" applyFill="0" applyBorder="0" applyAlignment="0" applyProtection="0"/>
    <xf numFmtId="195" fontId="60" fillId="0" borderId="0" applyFont="0" applyFill="0" applyBorder="0" applyAlignment="0" applyProtection="0"/>
    <xf numFmtId="217" fontId="64" fillId="0" borderId="0" applyFont="0" applyFill="0" applyBorder="0" applyAlignment="0" applyProtection="0"/>
    <xf numFmtId="218" fontId="60" fillId="0" borderId="0" applyFont="0" applyFill="0" applyBorder="0" applyAlignment="0" applyProtection="0"/>
    <xf numFmtId="218" fontId="60"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81" fontId="64" fillId="0" borderId="0" applyFont="0" applyFill="0" applyBorder="0" applyAlignment="0" applyProtection="0"/>
    <xf numFmtId="218" fontId="60" fillId="0" borderId="0" applyFont="0" applyFill="0" applyBorder="0" applyAlignment="0" applyProtection="0"/>
    <xf numFmtId="217" fontId="64" fillId="0" borderId="0" applyFont="0" applyFill="0" applyBorder="0" applyAlignment="0" applyProtection="0"/>
    <xf numFmtId="180" fontId="65" fillId="0" borderId="0" applyFont="0" applyFill="0" applyBorder="0" applyAlignment="0" applyProtection="0"/>
    <xf numFmtId="164" fontId="60" fillId="0" borderId="0" applyFont="0" applyFill="0" applyBorder="0" applyAlignment="0" applyProtection="0"/>
    <xf numFmtId="220" fontId="60" fillId="0" borderId="0" applyFont="0" applyFill="0" applyBorder="0" applyAlignment="0" applyProtection="0"/>
    <xf numFmtId="192" fontId="60" fillId="0" borderId="0" applyFont="0" applyFill="0" applyBorder="0" applyAlignment="0" applyProtection="0"/>
    <xf numFmtId="0" fontId="51" fillId="0" borderId="0"/>
    <xf numFmtId="289" fontId="65"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67" fontId="101"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92" fontId="60" fillId="0" borderId="0" applyFont="0" applyFill="0" applyBorder="0" applyAlignment="0" applyProtection="0"/>
    <xf numFmtId="216" fontId="60" fillId="0" borderId="0" applyFont="0" applyFill="0" applyBorder="0" applyAlignment="0" applyProtection="0"/>
    <xf numFmtId="195" fontId="47" fillId="0" borderId="0" applyFont="0" applyFill="0" applyBorder="0" applyAlignment="0" applyProtection="0"/>
    <xf numFmtId="195" fontId="60" fillId="0" borderId="0" applyFont="0" applyFill="0" applyBorder="0" applyAlignment="0" applyProtection="0"/>
    <xf numFmtId="0" fontId="51" fillId="0" borderId="0"/>
    <xf numFmtId="289" fontId="65"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4" fontId="60" fillId="0" borderId="0" applyFont="0" applyFill="0" applyBorder="0" applyAlignment="0" applyProtection="0"/>
    <xf numFmtId="194" fontId="60" fillId="0" borderId="0" applyFont="0" applyFill="0" applyBorder="0" applyAlignment="0" applyProtection="0"/>
    <xf numFmtId="227"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93" fontId="60" fillId="0" borderId="0" applyFont="0" applyFill="0" applyBorder="0" applyAlignment="0" applyProtection="0"/>
    <xf numFmtId="228" fontId="47"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192" fontId="64" fillId="0" borderId="0" applyFont="0" applyFill="0" applyBorder="0" applyAlignment="0" applyProtection="0"/>
    <xf numFmtId="229" fontId="60" fillId="0" borderId="0" applyFont="0" applyFill="0" applyBorder="0" applyAlignment="0" applyProtection="0"/>
    <xf numFmtId="193" fontId="60" fillId="0" borderId="0" applyFont="0" applyFill="0" applyBorder="0" applyAlignment="0" applyProtection="0"/>
    <xf numFmtId="229" fontId="6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99" fontId="64" fillId="0" borderId="0" applyFont="0" applyFill="0" applyBorder="0" applyAlignment="0" applyProtection="0"/>
    <xf numFmtId="229" fontId="60" fillId="0" borderId="0" applyFont="0" applyFill="0" applyBorder="0" applyAlignment="0" applyProtection="0"/>
    <xf numFmtId="192" fontId="64" fillId="0" borderId="0" applyFont="0" applyFill="0" applyBorder="0" applyAlignment="0" applyProtection="0"/>
    <xf numFmtId="230" fontId="65" fillId="0" borderId="0" applyFont="0" applyFill="0" applyBorder="0" applyAlignment="0" applyProtection="0"/>
    <xf numFmtId="222" fontId="60" fillId="0" borderId="0" applyFont="0" applyFill="0" applyBorder="0" applyAlignment="0" applyProtection="0"/>
    <xf numFmtId="181" fontId="60" fillId="0" borderId="0" applyFont="0" applyFill="0" applyBorder="0" applyAlignment="0" applyProtection="0"/>
    <xf numFmtId="181" fontId="60" fillId="0" borderId="0" applyFont="0" applyFill="0" applyBorder="0" applyAlignment="0" applyProtection="0"/>
    <xf numFmtId="222" fontId="60" fillId="0" borderId="0" applyFont="0" applyFill="0" applyBorder="0" applyAlignment="0" applyProtection="0"/>
    <xf numFmtId="193"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221" fontId="60" fillId="0" borderId="0" applyFont="0" applyFill="0" applyBorder="0" applyAlignment="0" applyProtection="0"/>
    <xf numFmtId="222"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1" fontId="60" fillId="0" borderId="0" applyFont="0" applyFill="0" applyBorder="0" applyAlignment="0" applyProtection="0"/>
    <xf numFmtId="223" fontId="60" fillId="0" borderId="0" applyFont="0" applyFill="0" applyBorder="0" applyAlignment="0" applyProtection="0"/>
    <xf numFmtId="164" fontId="60" fillId="0" borderId="0" applyFont="0" applyFill="0" applyBorder="0" applyAlignment="0" applyProtection="0"/>
    <xf numFmtId="194" fontId="47" fillId="0" borderId="0" applyFont="0" applyFill="0" applyBorder="0" applyAlignment="0" applyProtection="0"/>
    <xf numFmtId="164" fontId="60" fillId="0" borderId="0" applyFont="0" applyFill="0" applyBorder="0" applyAlignment="0" applyProtection="0"/>
    <xf numFmtId="194" fontId="47"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221" fontId="60" fillId="0" borderId="0" applyFont="0" applyFill="0" applyBorder="0" applyAlignment="0" applyProtection="0"/>
    <xf numFmtId="224" fontId="60" fillId="0" borderId="0" applyFont="0" applyFill="0" applyBorder="0" applyAlignment="0" applyProtection="0"/>
    <xf numFmtId="222" fontId="60" fillId="0" borderId="0" applyFont="0" applyFill="0" applyBorder="0" applyAlignment="0" applyProtection="0"/>
    <xf numFmtId="225" fontId="60" fillId="0" borderId="0" applyFont="0" applyFill="0" applyBorder="0" applyAlignment="0" applyProtection="0"/>
    <xf numFmtId="226" fontId="60" fillId="0" borderId="0" applyFont="0" applyFill="0" applyBorder="0" applyAlignment="0" applyProtection="0"/>
    <xf numFmtId="164" fontId="60" fillId="0" borderId="0" applyFont="0" applyFill="0" applyBorder="0" applyAlignment="0" applyProtection="0"/>
    <xf numFmtId="225" fontId="60" fillId="0" borderId="0" applyFont="0" applyFill="0" applyBorder="0" applyAlignment="0" applyProtection="0"/>
    <xf numFmtId="221" fontId="60" fillId="0" borderId="0" applyFont="0" applyFill="0" applyBorder="0" applyAlignment="0" applyProtection="0"/>
    <xf numFmtId="194" fontId="60" fillId="0" borderId="0" applyFont="0" applyFill="0" applyBorder="0" applyAlignment="0" applyProtection="0"/>
    <xf numFmtId="194" fontId="60" fillId="0" borderId="0" applyFont="0" applyFill="0" applyBorder="0" applyAlignment="0" applyProtection="0"/>
    <xf numFmtId="164" fontId="60" fillId="0" borderId="0" applyFont="0" applyFill="0" applyBorder="0" applyAlignment="0" applyProtection="0"/>
    <xf numFmtId="222" fontId="60" fillId="0" borderId="0" applyFont="0" applyFill="0" applyBorder="0" applyAlignment="0" applyProtection="0"/>
    <xf numFmtId="164" fontId="60" fillId="0" borderId="0" applyFont="0" applyFill="0" applyBorder="0" applyAlignment="0" applyProtection="0"/>
    <xf numFmtId="194" fontId="60" fillId="0" borderId="0" applyFont="0" applyFill="0" applyBorder="0" applyAlignment="0" applyProtection="0"/>
    <xf numFmtId="222" fontId="60" fillId="0" borderId="0" applyFont="0" applyFill="0" applyBorder="0" applyAlignment="0" applyProtection="0"/>
    <xf numFmtId="222" fontId="60" fillId="0" borderId="0" applyFont="0" applyFill="0" applyBorder="0" applyAlignment="0" applyProtection="0"/>
    <xf numFmtId="14" fontId="192" fillId="0" borderId="0"/>
    <xf numFmtId="0" fontId="193" fillId="0" borderId="0"/>
    <xf numFmtId="0" fontId="159" fillId="0" borderId="0"/>
    <xf numFmtId="40" fontId="194" fillId="0" borderId="0" applyBorder="0">
      <alignment horizontal="right"/>
    </xf>
    <xf numFmtId="0" fontId="195" fillId="0" borderId="0"/>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188" fontId="196" fillId="0" borderId="24">
      <alignment horizontal="right" vertical="center"/>
    </xf>
    <xf numFmtId="210" fontId="87" fillId="0" borderId="24">
      <alignment horizontal="right" vertical="center"/>
    </xf>
    <xf numFmtId="210" fontId="87"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1" fontId="65" fillId="0" borderId="19">
      <alignment horizontal="right" vertical="center"/>
    </xf>
    <xf numFmtId="291" fontId="65" fillId="0" borderId="19">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90" fontId="65" fillId="0" borderId="24">
      <alignment horizontal="right" vertical="center"/>
    </xf>
    <xf numFmtId="291" fontId="65" fillId="0" borderId="19">
      <alignment horizontal="right" vertical="center"/>
    </xf>
    <xf numFmtId="291" fontId="65" fillId="0" borderId="19">
      <alignment horizontal="right" vertical="center"/>
    </xf>
    <xf numFmtId="189" fontId="51"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189" fontId="51" fillId="0" borderId="24">
      <alignment horizontal="right" vertical="center"/>
    </xf>
    <xf numFmtId="212" fontId="15" fillId="0" borderId="24">
      <alignment horizontal="right" vertical="center"/>
    </xf>
    <xf numFmtId="212" fontId="15" fillId="0" borderId="24">
      <alignment horizontal="right" vertical="center"/>
    </xf>
    <xf numFmtId="292" fontId="15" fillId="0" borderId="24">
      <alignment horizontal="right" vertical="center"/>
    </xf>
    <xf numFmtId="292" fontId="15" fillId="0" borderId="24">
      <alignment horizontal="right" vertical="center"/>
    </xf>
    <xf numFmtId="293" fontId="60" fillId="0" borderId="24">
      <alignment horizontal="right" vertical="center"/>
    </xf>
    <xf numFmtId="294" fontId="15" fillId="0" borderId="24">
      <alignment horizontal="right" vertical="center"/>
    </xf>
    <xf numFmtId="294" fontId="15" fillId="0" borderId="24">
      <alignment horizontal="right" vertical="center"/>
    </xf>
    <xf numFmtId="294" fontId="15" fillId="0" borderId="24">
      <alignment horizontal="right" vertical="center"/>
    </xf>
    <xf numFmtId="294" fontId="15" fillId="0" borderId="24">
      <alignment horizontal="right" vertical="center"/>
    </xf>
    <xf numFmtId="292" fontId="15" fillId="0" borderId="24">
      <alignment horizontal="right" vertical="center"/>
    </xf>
    <xf numFmtId="292" fontId="15" fillId="0" borderId="24">
      <alignment horizontal="right" vertical="center"/>
    </xf>
    <xf numFmtId="189" fontId="51" fillId="0" borderId="24">
      <alignment horizontal="right" vertical="center"/>
    </xf>
    <xf numFmtId="212" fontId="15" fillId="0" borderId="24">
      <alignment horizontal="right" vertical="center"/>
    </xf>
    <xf numFmtId="212" fontId="15" fillId="0" borderId="24">
      <alignment horizontal="right" vertical="center"/>
    </xf>
    <xf numFmtId="189" fontId="51" fillId="0" borderId="24">
      <alignment horizontal="right" vertical="center"/>
    </xf>
    <xf numFmtId="210" fontId="87" fillId="0" borderId="24">
      <alignment horizontal="right" vertical="center"/>
    </xf>
    <xf numFmtId="210" fontId="87" fillId="0" borderId="24">
      <alignment horizontal="right" vertical="center"/>
    </xf>
    <xf numFmtId="295" fontId="47" fillId="0" borderId="24">
      <alignment horizontal="right" vertical="center"/>
    </xf>
    <xf numFmtId="189" fontId="51" fillId="0" borderId="24">
      <alignment horizontal="right" vertical="center"/>
    </xf>
    <xf numFmtId="291" fontId="65" fillId="0" borderId="19">
      <alignment horizontal="right" vertical="center"/>
    </xf>
    <xf numFmtId="291" fontId="65" fillId="0" borderId="19">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1" fontId="65" fillId="0" borderId="19">
      <alignment horizontal="right" vertical="center"/>
    </xf>
    <xf numFmtId="291" fontId="65" fillId="0" borderId="19">
      <alignment horizontal="right" vertical="center"/>
    </xf>
    <xf numFmtId="292" fontId="15" fillId="0" borderId="24">
      <alignment horizontal="right" vertical="center"/>
    </xf>
    <xf numFmtId="292" fontId="15" fillId="0" borderId="24">
      <alignment horizontal="right" vertical="center"/>
    </xf>
    <xf numFmtId="293" fontId="60" fillId="0" borderId="24">
      <alignment horizontal="right" vertical="center"/>
    </xf>
    <xf numFmtId="292" fontId="15" fillId="0" borderId="24">
      <alignment horizontal="right" vertical="center"/>
    </xf>
    <xf numFmtId="292" fontId="15" fillId="0" borderId="24">
      <alignment horizontal="right" vertical="center"/>
    </xf>
    <xf numFmtId="294" fontId="15" fillId="0" borderId="24">
      <alignment horizontal="right" vertical="center"/>
    </xf>
    <xf numFmtId="294" fontId="1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2" fontId="15" fillId="0" borderId="24">
      <alignment horizontal="right" vertical="center"/>
    </xf>
    <xf numFmtId="292" fontId="15" fillId="0" borderId="24">
      <alignment horizontal="right" vertical="center"/>
    </xf>
    <xf numFmtId="296" fontId="197" fillId="5" borderId="79" applyFont="0" applyFill="0" applyBorder="0"/>
    <xf numFmtId="292" fontId="15" fillId="0" borderId="24">
      <alignment horizontal="right" vertical="center"/>
    </xf>
    <xf numFmtId="292" fontId="15" fillId="0" borderId="24">
      <alignment horizontal="right" vertical="center"/>
    </xf>
    <xf numFmtId="291" fontId="65" fillId="0" borderId="19">
      <alignment horizontal="right" vertical="center"/>
    </xf>
    <xf numFmtId="291" fontId="65" fillId="0" borderId="19">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28" fontId="65" fillId="0" borderId="24">
      <alignment horizontal="right" vertical="center"/>
    </xf>
    <xf numFmtId="296" fontId="197" fillId="5" borderId="79" applyFont="0" applyFill="0" applyBorder="0"/>
    <xf numFmtId="297" fontId="6" fillId="0" borderId="24">
      <alignment horizontal="right" vertical="center"/>
    </xf>
    <xf numFmtId="297" fontId="6"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28" fontId="65" fillId="0" borderId="24">
      <alignment horizontal="right" vertical="center"/>
    </xf>
    <xf numFmtId="212" fontId="15" fillId="0" borderId="24">
      <alignment horizontal="right" vertical="center"/>
    </xf>
    <xf numFmtId="212" fontId="15" fillId="0" borderId="24">
      <alignment horizontal="right" vertical="center"/>
    </xf>
    <xf numFmtId="291" fontId="65" fillId="0" borderId="19">
      <alignment horizontal="right" vertical="center"/>
    </xf>
    <xf numFmtId="291" fontId="65" fillId="0" borderId="19">
      <alignment horizontal="right" vertical="center"/>
    </xf>
    <xf numFmtId="292" fontId="15" fillId="0" borderId="24">
      <alignment horizontal="right" vertical="center"/>
    </xf>
    <xf numFmtId="292" fontId="15" fillId="0" borderId="24">
      <alignment horizontal="right" vertical="center"/>
    </xf>
    <xf numFmtId="293" fontId="60" fillId="0" borderId="24">
      <alignment horizontal="right" vertical="center"/>
    </xf>
    <xf numFmtId="292" fontId="15" fillId="0" borderId="24">
      <alignment horizontal="right" vertical="center"/>
    </xf>
    <xf numFmtId="292" fontId="15" fillId="0" borderId="24">
      <alignment horizontal="right" vertical="center"/>
    </xf>
    <xf numFmtId="290" fontId="65" fillId="0" borderId="24">
      <alignment horizontal="right" vertical="center"/>
    </xf>
    <xf numFmtId="212" fontId="15" fillId="0" borderId="24">
      <alignment horizontal="right" vertical="center"/>
    </xf>
    <xf numFmtId="212" fontId="15" fillId="0" borderId="24">
      <alignment horizontal="right" vertical="center"/>
    </xf>
    <xf numFmtId="212" fontId="15" fillId="0" borderId="24">
      <alignment horizontal="right" vertical="center"/>
    </xf>
    <xf numFmtId="212" fontId="15" fillId="0" borderId="24">
      <alignment horizontal="right" vertical="center"/>
    </xf>
    <xf numFmtId="298" fontId="47" fillId="0" borderId="24">
      <alignment horizontal="right" vertical="center"/>
    </xf>
    <xf numFmtId="291" fontId="65" fillId="0" borderId="19">
      <alignment horizontal="right" vertical="center"/>
    </xf>
    <xf numFmtId="291" fontId="65" fillId="0" borderId="19">
      <alignment horizontal="right" vertical="center"/>
    </xf>
    <xf numFmtId="299" fontId="15" fillId="0" borderId="24">
      <alignment horizontal="right" vertical="center"/>
    </xf>
    <xf numFmtId="299" fontId="15"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92" fontId="15" fillId="0" borderId="24">
      <alignment horizontal="right" vertical="center"/>
    </xf>
    <xf numFmtId="292" fontId="15" fillId="0" borderId="24">
      <alignment horizontal="right" vertical="center"/>
    </xf>
    <xf numFmtId="294" fontId="15" fillId="0" borderId="24">
      <alignment horizontal="right" vertical="center"/>
    </xf>
    <xf numFmtId="294" fontId="15" fillId="0" borderId="24">
      <alignment horizontal="right" vertical="center"/>
    </xf>
    <xf numFmtId="215" fontId="15" fillId="0" borderId="24">
      <alignment horizontal="right" vertical="center"/>
    </xf>
    <xf numFmtId="215" fontId="15"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96" fontId="197" fillId="5" borderId="79" applyFont="0" applyFill="0" applyBorder="0"/>
    <xf numFmtId="292" fontId="15" fillId="0" borderId="24">
      <alignment horizontal="right" vertical="center"/>
    </xf>
    <xf numFmtId="292" fontId="1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292" fontId="15" fillId="0" borderId="24">
      <alignment horizontal="right" vertical="center"/>
    </xf>
    <xf numFmtId="292" fontId="15"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300" fontId="87" fillId="0" borderId="24">
      <alignment horizontal="right" vertical="center"/>
    </xf>
    <xf numFmtId="292" fontId="15" fillId="0" borderId="24">
      <alignment horizontal="right" vertical="center"/>
    </xf>
    <xf numFmtId="292" fontId="15" fillId="0" borderId="24">
      <alignment horizontal="right" vertical="center"/>
    </xf>
    <xf numFmtId="296" fontId="197" fillId="5" borderId="79" applyFont="0" applyFill="0" applyBorder="0"/>
    <xf numFmtId="296" fontId="197" fillId="5" borderId="79" applyFont="0" applyFill="0" applyBorder="0"/>
    <xf numFmtId="213" fontId="65" fillId="0" borderId="24">
      <alignment horizontal="right" vertical="center"/>
    </xf>
    <xf numFmtId="189" fontId="51" fillId="0" borderId="24">
      <alignment horizontal="right" vertical="center"/>
    </xf>
    <xf numFmtId="210" fontId="87" fillId="0" borderId="24">
      <alignment horizontal="right" vertical="center"/>
    </xf>
    <xf numFmtId="210" fontId="87" fillId="0" borderId="24">
      <alignment horizontal="right" vertical="center"/>
    </xf>
    <xf numFmtId="292" fontId="15" fillId="0" borderId="24">
      <alignment horizontal="right" vertical="center"/>
    </xf>
    <xf numFmtId="292" fontId="15" fillId="0" borderId="24">
      <alignment horizontal="right" vertical="center"/>
    </xf>
    <xf numFmtId="290" fontId="65" fillId="0" borderId="24">
      <alignment horizontal="right" vertical="center"/>
    </xf>
    <xf numFmtId="290" fontId="65"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10" fontId="87" fillId="0" borderId="24">
      <alignment horizontal="right" vertical="center"/>
    </xf>
    <xf numFmtId="290" fontId="65" fillId="0" borderId="24">
      <alignment horizontal="right" vertical="center"/>
    </xf>
    <xf numFmtId="296" fontId="197" fillId="5" borderId="79" applyFont="0" applyFill="0" applyBorder="0"/>
    <xf numFmtId="281" fontId="15" fillId="0" borderId="24">
      <alignment horizontal="right" vertical="center"/>
    </xf>
    <xf numFmtId="281" fontId="15" fillId="0" borderId="24">
      <alignment horizontal="right" vertical="center"/>
    </xf>
    <xf numFmtId="281" fontId="15" fillId="0" borderId="24">
      <alignment horizontal="right" vertical="center"/>
    </xf>
    <xf numFmtId="281" fontId="15" fillId="0" borderId="24">
      <alignment horizontal="right" vertical="center"/>
    </xf>
    <xf numFmtId="281" fontId="15" fillId="0" borderId="24">
      <alignment horizontal="right" vertical="center"/>
    </xf>
    <xf numFmtId="281" fontId="15" fillId="0" borderId="24">
      <alignment horizontal="right" vertical="center"/>
    </xf>
    <xf numFmtId="281" fontId="15" fillId="0" borderId="24">
      <alignment horizontal="right" vertical="center"/>
    </xf>
    <xf numFmtId="290" fontId="65" fillId="0" borderId="24">
      <alignment horizontal="right" vertical="center"/>
    </xf>
    <xf numFmtId="281" fontId="15" fillId="0" borderId="24">
      <alignment horizontal="right" vertical="center"/>
    </xf>
    <xf numFmtId="281" fontId="15" fillId="0" borderId="24">
      <alignment horizontal="right" vertical="center"/>
    </xf>
    <xf numFmtId="301" fontId="15" fillId="0" borderId="19">
      <alignment horizontal="right" vertical="center"/>
    </xf>
    <xf numFmtId="301" fontId="15" fillId="0" borderId="19">
      <alignment horizontal="right" vertical="center"/>
    </xf>
    <xf numFmtId="301" fontId="15" fillId="0" borderId="19">
      <alignment horizontal="right" vertical="center"/>
    </xf>
    <xf numFmtId="301" fontId="15" fillId="0" borderId="19">
      <alignment horizontal="right" vertical="center"/>
    </xf>
    <xf numFmtId="301" fontId="15" fillId="0" borderId="19">
      <alignment horizontal="right" vertical="center"/>
    </xf>
    <xf numFmtId="188" fontId="196" fillId="0" borderId="24">
      <alignment horizontal="right" vertical="center"/>
    </xf>
    <xf numFmtId="290" fontId="65" fillId="0" borderId="24">
      <alignment horizontal="right" vertical="center"/>
    </xf>
    <xf numFmtId="215" fontId="15" fillId="0" borderId="24">
      <alignment horizontal="right" vertical="center"/>
    </xf>
    <xf numFmtId="215" fontId="15" fillId="0" borderId="24">
      <alignment horizontal="right" vertical="center"/>
    </xf>
    <xf numFmtId="189" fontId="51" fillId="0" borderId="24">
      <alignment horizontal="right" vertical="center"/>
    </xf>
    <xf numFmtId="290" fontId="65" fillId="0" borderId="24">
      <alignment horizontal="right" vertical="center"/>
    </xf>
    <xf numFmtId="290" fontId="65" fillId="0" borderId="24">
      <alignment horizontal="right" vertical="center"/>
    </xf>
    <xf numFmtId="290" fontId="65" fillId="0" borderId="24">
      <alignment horizontal="right" vertical="center"/>
    </xf>
    <xf numFmtId="189" fontId="51" fillId="0" borderId="24">
      <alignment horizontal="right" vertical="center"/>
    </xf>
    <xf numFmtId="290" fontId="65" fillId="0" borderId="24">
      <alignment horizontal="right" vertical="center"/>
    </xf>
    <xf numFmtId="292" fontId="15" fillId="0" borderId="24">
      <alignment horizontal="right" vertical="center"/>
    </xf>
    <xf numFmtId="292" fontId="15" fillId="0" borderId="24">
      <alignment horizontal="right" vertical="center"/>
    </xf>
    <xf numFmtId="290" fontId="65" fillId="0" borderId="24">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1" fontId="65" fillId="0" borderId="19">
      <alignment horizontal="right" vertical="center"/>
    </xf>
    <xf numFmtId="290" fontId="65" fillId="0" borderId="24">
      <alignment horizontal="right" vertical="center"/>
    </xf>
    <xf numFmtId="213" fontId="65" fillId="0" borderId="24">
      <alignment horizontal="right" vertical="center"/>
    </xf>
    <xf numFmtId="302" fontId="198" fillId="0" borderId="24">
      <alignment horizontal="right" vertical="center"/>
    </xf>
    <xf numFmtId="49" fontId="50" fillId="0" borderId="0" applyFill="0" applyBorder="0" applyProtection="0">
      <alignment horizontal="center" vertical="center" wrapText="1" shrinkToFit="1"/>
    </xf>
    <xf numFmtId="49" fontId="62" fillId="0" borderId="0" applyFill="0" applyBorder="0" applyAlignment="0"/>
    <xf numFmtId="49" fontId="62" fillId="0" borderId="0" applyFill="0" applyBorder="0" applyAlignment="0"/>
    <xf numFmtId="303" fontId="96" fillId="0" borderId="0" applyFill="0" applyBorder="0" applyAlignment="0"/>
    <xf numFmtId="303" fontId="6" fillId="0" borderId="0" applyFill="0" applyBorder="0" applyAlignment="0"/>
    <xf numFmtId="304" fontId="96" fillId="0" borderId="0" applyFill="0" applyBorder="0" applyAlignment="0"/>
    <xf numFmtId="304" fontId="6" fillId="0" borderId="0" applyFill="0" applyBorder="0" applyAlignment="0"/>
    <xf numFmtId="49" fontId="50" fillId="0" borderId="0" applyFill="0" applyBorder="0" applyProtection="0">
      <alignment horizontal="center" vertical="center" wrapText="1" shrinkToFit="1"/>
    </xf>
    <xf numFmtId="195" fontId="65" fillId="0" borderId="24">
      <alignment horizontal="center"/>
    </xf>
    <xf numFmtId="305" fontId="199" fillId="0" borderId="0" applyNumberFormat="0" applyFont="0" applyFill="0" applyBorder="0" applyAlignment="0">
      <alignment horizontal="centerContinuous"/>
    </xf>
    <xf numFmtId="306" fontId="200" fillId="0" borderId="0">
      <alignment horizontal="center"/>
      <protection locked="0"/>
    </xf>
    <xf numFmtId="0" fontId="15" fillId="0" borderId="80"/>
    <xf numFmtId="0" fontId="15" fillId="0" borderId="80"/>
    <xf numFmtId="0" fontId="6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01" fillId="0" borderId="3" applyNumberFormat="0" applyBorder="0" applyAlignment="0"/>
    <xf numFmtId="0" fontId="201" fillId="0" borderId="37" applyNumberFormat="0" applyBorder="0" applyAlignment="0">
      <alignment horizontal="center"/>
    </xf>
    <xf numFmtId="3" fontId="202" fillId="0" borderId="38" applyNumberFormat="0" applyBorder="0" applyAlignment="0"/>
    <xf numFmtId="0" fontId="203" fillId="0" borderId="3">
      <alignment horizontal="center" vertical="center" wrapText="1"/>
    </xf>
    <xf numFmtId="0" fontId="204" fillId="0" borderId="0" applyNumberFormat="0" applyFill="0" applyBorder="0" applyAlignment="0" applyProtection="0"/>
    <xf numFmtId="40" fontId="14" fillId="0" borderId="0"/>
    <xf numFmtId="0" fontId="205" fillId="26" borderId="58" applyNumberFormat="0" applyAlignment="0" applyProtection="0"/>
    <xf numFmtId="3" fontId="206" fillId="0" borderId="0" applyNumberFormat="0" applyFill="0" applyBorder="0" applyAlignment="0" applyProtection="0">
      <alignment horizontal="center" wrapText="1"/>
    </xf>
    <xf numFmtId="0" fontId="207" fillId="0" borderId="27" applyBorder="0" applyAlignment="0">
      <alignment horizontal="center" vertical="center"/>
    </xf>
    <xf numFmtId="0" fontId="208" fillId="0" borderId="0" applyNumberFormat="0" applyFill="0" applyBorder="0" applyAlignment="0" applyProtection="0">
      <alignment horizontal="centerContinuous"/>
    </xf>
    <xf numFmtId="0" fontId="137" fillId="0" borderId="81" applyNumberFormat="0" applyFill="0" applyBorder="0" applyAlignment="0" applyProtection="0">
      <alignment horizontal="center" vertical="center" wrapText="1"/>
    </xf>
    <xf numFmtId="0" fontId="204" fillId="0" borderId="0" applyNumberFormat="0" applyFill="0" applyBorder="0" applyAlignment="0" applyProtection="0"/>
    <xf numFmtId="0" fontId="209" fillId="0" borderId="82" applyNumberFormat="0" applyFill="0" applyAlignment="0" applyProtection="0"/>
    <xf numFmtId="0" fontId="210" fillId="0" borderId="83" applyNumberFormat="0" applyBorder="0" applyAlignment="0">
      <alignment vertical="center"/>
    </xf>
    <xf numFmtId="0" fontId="211" fillId="10" borderId="0" applyNumberFormat="0" applyBorder="0" applyAlignment="0" applyProtection="0"/>
    <xf numFmtId="0" fontId="6" fillId="0" borderId="57" applyNumberFormat="0" applyFont="0" applyFill="0" applyAlignment="0" applyProtection="0"/>
    <xf numFmtId="0" fontId="212" fillId="0" borderId="84" applyNumberFormat="0" applyAlignment="0">
      <alignment horizontal="center"/>
    </xf>
    <xf numFmtId="0" fontId="213" fillId="32" borderId="0" applyNumberFormat="0" applyBorder="0" applyAlignment="0" applyProtection="0"/>
    <xf numFmtId="0" fontId="214" fillId="0" borderId="85">
      <alignment horizontal="center"/>
    </xf>
    <xf numFmtId="3" fontId="215" fillId="0" borderId="0" applyFill="0">
      <alignment vertical="center"/>
    </xf>
    <xf numFmtId="181" fontId="6" fillId="0" borderId="0" applyFont="0" applyFill="0" applyBorder="0" applyAlignment="0" applyProtection="0"/>
    <xf numFmtId="202" fontId="6" fillId="0" borderId="0" applyFont="0" applyFill="0" applyBorder="0" applyAlignment="0" applyProtection="0"/>
    <xf numFmtId="167" fontId="216" fillId="0" borderId="86" applyNumberFormat="0" applyFont="0" applyAlignment="0">
      <alignment horizontal="centerContinuous"/>
    </xf>
    <xf numFmtId="269" fontId="148" fillId="0" borderId="0" applyFont="0" applyFill="0" applyBorder="0" applyAlignment="0" applyProtection="0"/>
    <xf numFmtId="307" fontId="212" fillId="0" borderId="0" applyFont="0" applyFill="0" applyBorder="0" applyAlignment="0" applyProtection="0"/>
    <xf numFmtId="308" fontId="101"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141" fillId="0" borderId="87">
      <alignment horizontal="center"/>
    </xf>
    <xf numFmtId="304" fontId="65" fillId="0" borderId="0"/>
    <xf numFmtId="213" fontId="65" fillId="0" borderId="2"/>
    <xf numFmtId="0" fontId="219" fillId="0" borderId="0"/>
    <xf numFmtId="0" fontId="63" fillId="0" borderId="0"/>
    <xf numFmtId="0" fontId="220" fillId="0" borderId="0"/>
    <xf numFmtId="3" fontId="65" fillId="0" borderId="0" applyNumberFormat="0" applyBorder="0" applyAlignment="0" applyProtection="0">
      <alignment horizontal="centerContinuous"/>
      <protection locked="0"/>
    </xf>
    <xf numFmtId="3" fontId="65" fillId="0" borderId="0" applyNumberFormat="0" applyBorder="0" applyAlignment="0" applyProtection="0">
      <alignment horizontal="centerContinuous"/>
      <protection locked="0"/>
    </xf>
    <xf numFmtId="3" fontId="221" fillId="0" borderId="0">
      <protection locked="0"/>
    </xf>
    <xf numFmtId="0" fontId="63" fillId="0" borderId="0"/>
    <xf numFmtId="0" fontId="222" fillId="0" borderId="88" applyFill="0" applyBorder="0" applyAlignment="0">
      <alignment horizontal="center"/>
    </xf>
    <xf numFmtId="5" fontId="223" fillId="48" borderId="27">
      <alignment vertical="top"/>
    </xf>
    <xf numFmtId="0" fontId="224" fillId="49" borderId="2">
      <alignment horizontal="left" vertical="center"/>
    </xf>
    <xf numFmtId="6" fontId="225" fillId="50" borderId="27"/>
    <xf numFmtId="5" fontId="145" fillId="0" borderId="27">
      <alignment horizontal="left" vertical="top"/>
    </xf>
    <xf numFmtId="0" fontId="226" fillId="51" borderId="0">
      <alignment horizontal="left" vertical="center"/>
    </xf>
    <xf numFmtId="5" fontId="51" fillId="0" borderId="4">
      <alignment horizontal="left" vertical="top"/>
    </xf>
    <xf numFmtId="228" fontId="51" fillId="0" borderId="4">
      <alignment horizontal="left" vertical="top"/>
    </xf>
    <xf numFmtId="0" fontId="227" fillId="0" borderId="4">
      <alignment horizontal="left" vertical="center"/>
    </xf>
    <xf numFmtId="0" fontId="6" fillId="0" borderId="0" applyFont="0" applyFill="0" applyBorder="0" applyAlignment="0" applyProtection="0"/>
    <xf numFmtId="0" fontId="6" fillId="0" borderId="0" applyFont="0" applyFill="0" applyBorder="0" applyAlignment="0" applyProtection="0"/>
    <xf numFmtId="309" fontId="6" fillId="0" borderId="0" applyFont="0" applyFill="0" applyBorder="0" applyAlignment="0" applyProtection="0"/>
    <xf numFmtId="310" fontId="6" fillId="0" borderId="0" applyFont="0" applyFill="0" applyBorder="0" applyAlignment="0" applyProtection="0"/>
    <xf numFmtId="42" fontId="121" fillId="0" borderId="0" applyFont="0" applyFill="0" applyBorder="0" applyAlignment="0" applyProtection="0"/>
    <xf numFmtId="44" fontId="121" fillId="0" borderId="0" applyFont="0" applyFill="0" applyBorder="0" applyAlignment="0" applyProtection="0"/>
    <xf numFmtId="0" fontId="228" fillId="0" borderId="0" applyNumberFormat="0" applyFill="0" applyBorder="0" applyAlignment="0" applyProtection="0"/>
    <xf numFmtId="0" fontId="229" fillId="0" borderId="0" applyNumberFormat="0" applyFont="0" applyFill="0" applyBorder="0" applyProtection="0">
      <alignment horizontal="center" vertical="center" wrapText="1"/>
    </xf>
    <xf numFmtId="0" fontId="6" fillId="0" borderId="0" applyFont="0" applyFill="0" applyBorder="0" applyAlignment="0" applyProtection="0"/>
    <xf numFmtId="0" fontId="6" fillId="0" borderId="0" applyFont="0" applyFill="0" applyBorder="0" applyAlignment="0" applyProtection="0"/>
    <xf numFmtId="0" fontId="230" fillId="9" borderId="0" applyNumberFormat="0" applyBorder="0" applyAlignment="0" applyProtection="0"/>
    <xf numFmtId="0" fontId="231" fillId="0" borderId="0" applyNumberFormat="0" applyFill="0" applyBorder="0" applyAlignment="0" applyProtection="0"/>
    <xf numFmtId="0" fontId="87" fillId="0" borderId="89" applyFont="0" applyBorder="0" applyAlignment="0">
      <alignment horizontal="center"/>
    </xf>
    <xf numFmtId="0" fontId="87" fillId="0" borderId="89" applyFont="0" applyBorder="0" applyAlignment="0">
      <alignment horizontal="center"/>
    </xf>
    <xf numFmtId="181" fontId="1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0" fontId="55" fillId="0" borderId="0"/>
    <xf numFmtId="0" fontId="232" fillId="0" borderId="0" applyFont="0" applyFill="0" applyBorder="0" applyAlignment="0" applyProtection="0"/>
    <xf numFmtId="0" fontId="232" fillId="0" borderId="0" applyFont="0" applyFill="0" applyBorder="0" applyAlignment="0" applyProtection="0"/>
    <xf numFmtId="0" fontId="106" fillId="0" borderId="0">
      <alignment vertical="center"/>
    </xf>
    <xf numFmtId="40" fontId="233" fillId="0" borderId="0" applyFont="0" applyFill="0" applyBorder="0" applyAlignment="0" applyProtection="0"/>
    <xf numFmtId="38" fontId="233" fillId="0" borderId="0" applyFont="0" applyFill="0" applyBorder="0" applyAlignment="0" applyProtection="0"/>
    <xf numFmtId="0" fontId="233" fillId="0" borderId="0" applyFont="0" applyFill="0" applyBorder="0" applyAlignment="0" applyProtection="0"/>
    <xf numFmtId="0" fontId="233" fillId="0" borderId="0" applyFont="0" applyFill="0" applyBorder="0" applyAlignment="0" applyProtection="0"/>
    <xf numFmtId="9" fontId="234" fillId="0" borderId="0" applyBorder="0" applyAlignment="0" applyProtection="0"/>
    <xf numFmtId="0" fontId="235" fillId="0" borderId="0"/>
    <xf numFmtId="0" fontId="236" fillId="0" borderId="56"/>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64" fillId="0" borderId="0" applyFont="0" applyFill="0" applyBorder="0" applyAlignment="0" applyProtection="0"/>
    <xf numFmtId="0" fontId="164" fillId="0" borderId="0" applyFont="0" applyFill="0" applyBorder="0" applyAlignment="0" applyProtection="0"/>
    <xf numFmtId="192" fontId="6" fillId="0" borderId="0" applyFont="0" applyFill="0" applyBorder="0" applyAlignment="0" applyProtection="0"/>
    <xf numFmtId="199" fontId="6" fillId="0" borderId="0" applyFont="0" applyFill="0" applyBorder="0" applyAlignment="0" applyProtection="0"/>
    <xf numFmtId="0" fontId="164" fillId="0" borderId="0"/>
    <xf numFmtId="0" fontId="237" fillId="0" borderId="0"/>
    <xf numFmtId="0" fontId="156" fillId="0" borderId="0"/>
    <xf numFmtId="181" fontId="168" fillId="0" borderId="0" applyFont="0" applyFill="0" applyBorder="0" applyAlignment="0" applyProtection="0"/>
    <xf numFmtId="191" fontId="168" fillId="0" borderId="0" applyFont="0" applyFill="0" applyBorder="0" applyAlignment="0" applyProtection="0"/>
    <xf numFmtId="311" fontId="63" fillId="0" borderId="0" applyFont="0" applyFill="0" applyBorder="0" applyAlignment="0" applyProtection="0"/>
    <xf numFmtId="288" fontId="63" fillId="0" borderId="0" applyFont="0" applyFill="0" applyBorder="0" applyAlignment="0" applyProtection="0"/>
    <xf numFmtId="0" fontId="6" fillId="0" borderId="0"/>
    <xf numFmtId="192" fontId="168" fillId="0" borderId="0" applyFont="0" applyFill="0" applyBorder="0" applyAlignment="0" applyProtection="0"/>
    <xf numFmtId="6" fontId="57" fillId="0" borderId="0" applyFont="0" applyFill="0" applyBorder="0" applyAlignment="0" applyProtection="0"/>
    <xf numFmtId="199" fontId="168" fillId="0" borderId="0" applyFont="0" applyFill="0" applyBorder="0" applyAlignment="0" applyProtection="0"/>
    <xf numFmtId="166" fontId="6" fillId="0" borderId="0" applyFont="0" applyFill="0" applyBorder="0" applyAlignment="0" applyProtection="0"/>
    <xf numFmtId="192" fontId="63" fillId="0" borderId="0" applyFont="0" applyFill="0" applyBorder="0" applyAlignment="0" applyProtection="0"/>
  </cellStyleXfs>
  <cellXfs count="854">
    <xf numFmtId="0" fontId="0" fillId="0" borderId="0" xfId="0"/>
    <xf numFmtId="0" fontId="12" fillId="0" borderId="0" xfId="0" applyFont="1"/>
    <xf numFmtId="0" fontId="20" fillId="0" borderId="0" xfId="0" applyFont="1"/>
    <xf numFmtId="3" fontId="18" fillId="3" borderId="0" xfId="14" applyNumberFormat="1" applyFont="1" applyFill="1" applyAlignment="1">
      <alignment vertical="center"/>
    </xf>
    <xf numFmtId="0" fontId="18" fillId="3" borderId="0" xfId="14" applyFont="1" applyFill="1" applyAlignment="1">
      <alignment vertical="center"/>
    </xf>
    <xf numFmtId="0" fontId="18" fillId="3" borderId="0" xfId="14" applyFont="1" applyFill="1" applyAlignment="1">
      <alignment horizontal="center" vertical="center"/>
    </xf>
    <xf numFmtId="0" fontId="18" fillId="3" borderId="0" xfId="14" applyFont="1" applyFill="1" applyAlignment="1">
      <alignment horizontal="center" vertical="center" wrapText="1"/>
    </xf>
    <xf numFmtId="180" fontId="18" fillId="3" borderId="0" xfId="14" applyNumberFormat="1" applyFont="1" applyFill="1" applyAlignment="1">
      <alignment vertical="center"/>
    </xf>
    <xf numFmtId="180" fontId="18" fillId="3" borderId="0" xfId="14" applyNumberFormat="1" applyFont="1" applyFill="1" applyAlignment="1">
      <alignment horizontal="right" vertical="center"/>
    </xf>
    <xf numFmtId="181" fontId="18" fillId="3" borderId="0" xfId="14" applyNumberFormat="1" applyFont="1" applyFill="1" applyAlignment="1">
      <alignment vertical="center"/>
    </xf>
    <xf numFmtId="3" fontId="23" fillId="3" borderId="0" xfId="14" applyNumberFormat="1" applyFont="1" applyFill="1" applyAlignment="1">
      <alignment vertical="center"/>
    </xf>
    <xf numFmtId="0" fontId="23" fillId="3" borderId="0" xfId="14" applyFont="1" applyFill="1" applyAlignment="1">
      <alignment vertical="center"/>
    </xf>
    <xf numFmtId="181" fontId="23" fillId="3" borderId="0" xfId="14" applyNumberFormat="1" applyFont="1" applyFill="1" applyAlignment="1">
      <alignment vertical="center"/>
    </xf>
    <xf numFmtId="178" fontId="23" fillId="3" borderId="0" xfId="14" applyNumberFormat="1" applyFont="1" applyFill="1" applyAlignment="1">
      <alignment vertical="center"/>
    </xf>
    <xf numFmtId="0" fontId="18" fillId="3" borderId="0" xfId="14" applyFont="1" applyFill="1" applyAlignment="1">
      <alignment horizontal="justify" vertical="center" wrapText="1"/>
    </xf>
    <xf numFmtId="167" fontId="20" fillId="0" borderId="0" xfId="0" applyNumberFormat="1" applyFont="1"/>
    <xf numFmtId="171" fontId="20" fillId="0" borderId="0" xfId="0" applyNumberFormat="1" applyFont="1"/>
    <xf numFmtId="0" fontId="20" fillId="0" borderId="22" xfId="0" applyFont="1" applyBorder="1" applyAlignment="1">
      <alignment horizontal="center" vertical="center"/>
    </xf>
    <xf numFmtId="0" fontId="21" fillId="0" borderId="0" xfId="0" applyFont="1"/>
    <xf numFmtId="43" fontId="20" fillId="0" borderId="3" xfId="12" applyFont="1" applyBorder="1" applyAlignment="1">
      <alignment horizontal="center" vertical="center" wrapText="1"/>
    </xf>
    <xf numFmtId="0" fontId="21" fillId="0" borderId="37" xfId="0" applyFont="1" applyBorder="1" applyAlignment="1">
      <alignment horizontal="center" vertical="center"/>
    </xf>
    <xf numFmtId="0" fontId="21" fillId="0" borderId="37" xfId="0" applyFont="1" applyBorder="1" applyAlignment="1">
      <alignment vertical="center"/>
    </xf>
    <xf numFmtId="167" fontId="21" fillId="0" borderId="37" xfId="3" applyNumberFormat="1" applyFont="1" applyBorder="1" applyAlignment="1">
      <alignment vertical="center"/>
    </xf>
    <xf numFmtId="9" fontId="21" fillId="0" borderId="37" xfId="10" applyFont="1" applyBorder="1" applyAlignment="1">
      <alignment vertical="center"/>
    </xf>
    <xf numFmtId="0" fontId="21" fillId="0" borderId="3" xfId="0" applyFont="1" applyBorder="1" applyAlignment="1">
      <alignment horizontal="center" vertical="center"/>
    </xf>
    <xf numFmtId="0" fontId="21" fillId="0" borderId="3" xfId="0" applyFont="1" applyBorder="1" applyAlignment="1">
      <alignment vertical="center"/>
    </xf>
    <xf numFmtId="167" fontId="21" fillId="0" borderId="3" xfId="3" applyNumberFormat="1" applyFont="1" applyBorder="1" applyAlignment="1">
      <alignment vertical="center"/>
    </xf>
    <xf numFmtId="9" fontId="21" fillId="0" borderId="3" xfId="10" applyFont="1" applyBorder="1" applyAlignment="1">
      <alignment vertical="center"/>
    </xf>
    <xf numFmtId="0" fontId="20" fillId="0" borderId="3" xfId="0" applyFont="1" applyBorder="1" applyAlignment="1">
      <alignment vertical="center"/>
    </xf>
    <xf numFmtId="167" fontId="20" fillId="0" borderId="3" xfId="3" applyNumberFormat="1" applyFont="1" applyBorder="1" applyAlignment="1">
      <alignment vertical="center"/>
    </xf>
    <xf numFmtId="9" fontId="20" fillId="0" borderId="3" xfId="10" applyFont="1" applyBorder="1" applyAlignment="1">
      <alignment vertical="center"/>
    </xf>
    <xf numFmtId="167" fontId="20" fillId="3" borderId="3" xfId="3" applyNumberFormat="1" applyFont="1" applyFill="1" applyBorder="1" applyAlignment="1">
      <alignment vertical="center"/>
    </xf>
    <xf numFmtId="167" fontId="20" fillId="2" borderId="3" xfId="12" applyNumberFormat="1" applyFont="1" applyFill="1" applyBorder="1" applyAlignment="1">
      <alignment horizontal="center" vertical="center" wrapText="1"/>
    </xf>
    <xf numFmtId="43" fontId="21" fillId="0" borderId="3" xfId="3" applyFont="1" applyBorder="1" applyAlignment="1">
      <alignment vertical="center"/>
    </xf>
    <xf numFmtId="167" fontId="20" fillId="0" borderId="3" xfId="3" applyNumberFormat="1" applyFont="1" applyBorder="1"/>
    <xf numFmtId="0" fontId="21" fillId="0" borderId="39" xfId="0" applyFont="1" applyBorder="1" applyAlignment="1">
      <alignment horizontal="center" vertical="center"/>
    </xf>
    <xf numFmtId="0" fontId="21" fillId="0" borderId="39" xfId="0" applyFont="1" applyBorder="1" applyAlignment="1">
      <alignment vertical="center"/>
    </xf>
    <xf numFmtId="167" fontId="21" fillId="0" borderId="39" xfId="3" applyNumberFormat="1" applyFont="1" applyBorder="1" applyAlignment="1">
      <alignment vertical="center"/>
    </xf>
    <xf numFmtId="0" fontId="20" fillId="0" borderId="22" xfId="0" applyFont="1" applyBorder="1" applyAlignment="1">
      <alignment horizontal="center" vertical="center" wrapText="1"/>
    </xf>
    <xf numFmtId="0" fontId="20" fillId="0" borderId="0" xfId="0" applyFont="1" applyAlignment="1">
      <alignment horizontal="center" vertical="center"/>
    </xf>
    <xf numFmtId="165" fontId="20" fillId="0" borderId="0" xfId="0" applyNumberFormat="1" applyFont="1"/>
    <xf numFmtId="0" fontId="20" fillId="0" borderId="37" xfId="0" applyFont="1" applyBorder="1" applyAlignment="1">
      <alignment horizontal="center" vertical="center"/>
    </xf>
    <xf numFmtId="0" fontId="20" fillId="0" borderId="3" xfId="0" applyFont="1" applyBorder="1" applyAlignment="1">
      <alignment wrapText="1"/>
    </xf>
    <xf numFmtId="167" fontId="20" fillId="0" borderId="3" xfId="3" applyNumberFormat="1" applyFont="1" applyBorder="1" applyAlignment="1">
      <alignment horizontal="center" vertical="center"/>
    </xf>
    <xf numFmtId="167" fontId="20" fillId="0" borderId="3" xfId="3" applyNumberFormat="1" applyFont="1" applyBorder="1" applyAlignment="1">
      <alignment horizontal="center"/>
    </xf>
    <xf numFmtId="9" fontId="20" fillId="0" borderId="3" xfId="10" applyFont="1" applyBorder="1" applyAlignment="1">
      <alignment horizontal="center"/>
    </xf>
    <xf numFmtId="0" fontId="20" fillId="0" borderId="3" xfId="0" applyFont="1" applyBorder="1" applyAlignment="1">
      <alignment vertical="center" wrapText="1"/>
    </xf>
    <xf numFmtId="166" fontId="20" fillId="0" borderId="3" xfId="3" applyNumberFormat="1" applyFont="1" applyBorder="1" applyAlignment="1">
      <alignment horizontal="center"/>
    </xf>
    <xf numFmtId="43" fontId="20" fillId="0" borderId="3" xfId="3" applyNumberFormat="1" applyFont="1" applyBorder="1" applyAlignment="1">
      <alignment horizontal="center"/>
    </xf>
    <xf numFmtId="43" fontId="20" fillId="0" borderId="3" xfId="3" applyFont="1" applyBorder="1" applyAlignment="1">
      <alignment horizontal="center"/>
    </xf>
    <xf numFmtId="0" fontId="20" fillId="0" borderId="3" xfId="0" applyFont="1" applyBorder="1"/>
    <xf numFmtId="0" fontId="20" fillId="0" borderId="3" xfId="0" applyFont="1" applyBorder="1" applyAlignment="1">
      <alignment horizontal="center"/>
    </xf>
    <xf numFmtId="166" fontId="20" fillId="0" borderId="3" xfId="0" applyNumberFormat="1" applyFont="1" applyBorder="1" applyAlignment="1">
      <alignment horizontal="center"/>
    </xf>
    <xf numFmtId="0" fontId="20" fillId="0" borderId="39" xfId="0" applyFont="1" applyBorder="1" applyAlignment="1">
      <alignment horizontal="center" vertical="center"/>
    </xf>
    <xf numFmtId="0" fontId="20" fillId="0" borderId="39" xfId="0" applyFont="1" applyBorder="1"/>
    <xf numFmtId="0" fontId="20" fillId="0" borderId="39" xfId="0" applyFont="1" applyBorder="1" applyAlignment="1">
      <alignment horizontal="center"/>
    </xf>
    <xf numFmtId="166" fontId="20" fillId="0" borderId="39" xfId="0" applyNumberFormat="1" applyFont="1" applyBorder="1" applyAlignment="1">
      <alignment horizontal="center"/>
    </xf>
    <xf numFmtId="9" fontId="20" fillId="0" borderId="39" xfId="10" applyFont="1" applyBorder="1" applyAlignment="1">
      <alignment horizontal="center"/>
    </xf>
    <xf numFmtId="0" fontId="25" fillId="0" borderId="22" xfId="0" applyFont="1" applyBorder="1" applyAlignment="1">
      <alignment horizontal="center" vertical="center"/>
    </xf>
    <xf numFmtId="0" fontId="25" fillId="0" borderId="22" xfId="0" applyFont="1" applyBorder="1" applyAlignment="1">
      <alignment horizontal="center"/>
    </xf>
    <xf numFmtId="165" fontId="25" fillId="0" borderId="0" xfId="0" applyNumberFormat="1" applyFont="1"/>
    <xf numFmtId="0" fontId="25" fillId="0" borderId="0" xfId="0" applyFont="1"/>
    <xf numFmtId="0" fontId="21" fillId="0" borderId="0" xfId="0" applyFont="1" applyAlignment="1">
      <alignment horizontal="right" vertical="center" wrapText="1"/>
    </xf>
    <xf numFmtId="0" fontId="25" fillId="0" borderId="0" xfId="0" applyFont="1" applyAlignment="1">
      <alignment horizontal="right" vertical="center"/>
    </xf>
    <xf numFmtId="0" fontId="25" fillId="0" borderId="9" xfId="0" applyFont="1" applyBorder="1" applyAlignment="1">
      <alignment horizontal="right" vertical="center"/>
    </xf>
    <xf numFmtId="167" fontId="25" fillId="0" borderId="9" xfId="0" applyNumberFormat="1" applyFont="1" applyBorder="1" applyAlignment="1">
      <alignment horizontal="right" vertical="center"/>
    </xf>
    <xf numFmtId="0" fontId="20" fillId="2" borderId="0" xfId="0" applyFont="1" applyFill="1"/>
    <xf numFmtId="167" fontId="21" fillId="0" borderId="0" xfId="0" applyNumberFormat="1" applyFont="1"/>
    <xf numFmtId="0" fontId="21" fillId="2" borderId="0" xfId="0" applyFont="1" applyFill="1"/>
    <xf numFmtId="0" fontId="20" fillId="3" borderId="0" xfId="0" applyFont="1" applyFill="1"/>
    <xf numFmtId="167" fontId="20" fillId="2" borderId="0" xfId="0" applyNumberFormat="1" applyFont="1" applyFill="1"/>
    <xf numFmtId="0" fontId="25" fillId="2" borderId="22"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37" xfId="0" applyFont="1" applyFill="1" applyBorder="1" applyAlignment="1">
      <alignment vertical="center" wrapText="1"/>
    </xf>
    <xf numFmtId="169" fontId="21" fillId="2" borderId="37" xfId="12" applyNumberFormat="1" applyFont="1" applyFill="1" applyBorder="1" applyAlignment="1">
      <alignment horizontal="center" vertical="center" wrapText="1"/>
    </xf>
    <xf numFmtId="167" fontId="21" fillId="2" borderId="37" xfId="12" applyNumberFormat="1" applyFont="1" applyFill="1" applyBorder="1" applyAlignment="1">
      <alignment horizontal="center" vertical="center" wrapText="1"/>
    </xf>
    <xf numFmtId="172" fontId="21" fillId="2" borderId="37" xfId="13" applyNumberFormat="1"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3" xfId="0" applyFont="1" applyFill="1" applyBorder="1" applyAlignment="1">
      <alignment vertical="center" wrapText="1"/>
    </xf>
    <xf numFmtId="169" fontId="21" fillId="2" borderId="3" xfId="12" applyNumberFormat="1" applyFont="1" applyFill="1" applyBorder="1" applyAlignment="1">
      <alignment horizontal="center" vertical="center" wrapText="1"/>
    </xf>
    <xf numFmtId="167" fontId="21" fillId="2" borderId="3" xfId="12" applyNumberFormat="1" applyFont="1" applyFill="1" applyBorder="1" applyAlignment="1">
      <alignment horizontal="center" vertical="center" wrapText="1"/>
    </xf>
    <xf numFmtId="172" fontId="21" fillId="2" borderId="3" xfId="13" applyNumberFormat="1" applyFont="1" applyFill="1" applyBorder="1" applyAlignment="1">
      <alignment horizontal="center" vertical="center" wrapText="1"/>
    </xf>
    <xf numFmtId="0" fontId="25" fillId="2" borderId="3" xfId="0" quotePrefix="1" applyFont="1" applyFill="1" applyBorder="1" applyAlignment="1">
      <alignment horizontal="center" vertical="center" wrapText="1"/>
    </xf>
    <xf numFmtId="0" fontId="25" fillId="2" borderId="3" xfId="0" applyFont="1" applyFill="1" applyBorder="1" applyAlignment="1">
      <alignment vertical="center" wrapText="1"/>
    </xf>
    <xf numFmtId="169" fontId="20" fillId="2" borderId="3" xfId="12" applyNumberFormat="1" applyFont="1" applyFill="1" applyBorder="1" applyAlignment="1">
      <alignment horizontal="center" vertical="center" wrapText="1"/>
    </xf>
    <xf numFmtId="172" fontId="20" fillId="2" borderId="3" xfId="13" applyNumberFormat="1" applyFont="1" applyFill="1" applyBorder="1" applyAlignment="1">
      <alignment horizontal="center" vertical="center" wrapText="1"/>
    </xf>
    <xf numFmtId="0" fontId="20" fillId="2" borderId="3" xfId="0" quotePrefix="1" applyFont="1" applyFill="1" applyBorder="1" applyAlignment="1">
      <alignment horizontal="center" vertical="center" wrapText="1"/>
    </xf>
    <xf numFmtId="0" fontId="20" fillId="2" borderId="3" xfId="0" applyFont="1" applyFill="1" applyBorder="1" applyAlignment="1">
      <alignment vertical="center" wrapText="1"/>
    </xf>
    <xf numFmtId="167" fontId="20" fillId="2" borderId="3" xfId="3" applyNumberFormat="1" applyFont="1" applyFill="1" applyBorder="1" applyAlignment="1">
      <alignment horizontal="center" vertical="center" wrapText="1"/>
    </xf>
    <xf numFmtId="0" fontId="21" fillId="2" borderId="3" xfId="0" quotePrefix="1" applyFont="1" applyFill="1" applyBorder="1" applyAlignment="1">
      <alignment horizontal="center" vertical="center" wrapText="1"/>
    </xf>
    <xf numFmtId="166" fontId="20" fillId="2" borderId="3" xfId="3" applyNumberFormat="1" applyFont="1" applyFill="1" applyBorder="1" applyAlignment="1">
      <alignment horizontal="center" vertical="center" wrapText="1"/>
    </xf>
    <xf numFmtId="166" fontId="20" fillId="2" borderId="3" xfId="12" applyNumberFormat="1" applyFont="1" applyFill="1" applyBorder="1" applyAlignment="1">
      <alignment horizontal="center" vertical="center" wrapText="1"/>
    </xf>
    <xf numFmtId="166" fontId="20" fillId="3" borderId="3" xfId="12" applyNumberFormat="1" applyFont="1" applyFill="1" applyBorder="1" applyAlignment="1">
      <alignment horizontal="center" vertical="center" wrapText="1"/>
    </xf>
    <xf numFmtId="167" fontId="20" fillId="3" borderId="3" xfId="12" applyNumberFormat="1" applyFont="1" applyFill="1" applyBorder="1" applyAlignment="1">
      <alignment horizontal="center" vertical="center" wrapText="1"/>
    </xf>
    <xf numFmtId="0" fontId="25" fillId="3" borderId="3" xfId="0" quotePrefix="1" applyFont="1" applyFill="1" applyBorder="1" applyAlignment="1">
      <alignment horizontal="center" vertical="center" wrapText="1"/>
    </xf>
    <xf numFmtId="0" fontId="25" fillId="3" borderId="3" xfId="0" applyFont="1" applyFill="1" applyBorder="1" applyAlignment="1">
      <alignment vertical="center" wrapText="1"/>
    </xf>
    <xf numFmtId="166" fontId="20" fillId="3" borderId="3" xfId="3" applyNumberFormat="1" applyFont="1" applyFill="1" applyBorder="1" applyAlignment="1">
      <alignment horizontal="center" vertical="center" wrapText="1"/>
    </xf>
    <xf numFmtId="169" fontId="20" fillId="3" borderId="3" xfId="12" applyNumberFormat="1" applyFont="1" applyFill="1" applyBorder="1" applyAlignment="1">
      <alignment horizontal="center" vertical="center" wrapText="1"/>
    </xf>
    <xf numFmtId="172" fontId="20" fillId="3" borderId="3" xfId="13" applyNumberFormat="1" applyFont="1" applyFill="1" applyBorder="1" applyAlignment="1">
      <alignment horizontal="center" vertical="center" wrapText="1"/>
    </xf>
    <xf numFmtId="167" fontId="20" fillId="0" borderId="3" xfId="12" applyNumberFormat="1"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3" xfId="0" applyFont="1" applyFill="1" applyBorder="1" applyAlignment="1">
      <alignment vertical="center" wrapText="1"/>
    </xf>
    <xf numFmtId="167" fontId="21" fillId="3" borderId="3" xfId="12" applyNumberFormat="1"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3" xfId="1" applyFont="1" applyFill="1" applyBorder="1" applyAlignment="1">
      <alignment wrapText="1"/>
    </xf>
    <xf numFmtId="0" fontId="20" fillId="2" borderId="3" xfId="0" applyFont="1" applyFill="1" applyBorder="1"/>
    <xf numFmtId="0" fontId="20" fillId="2" borderId="3" xfId="0" applyFont="1" applyFill="1" applyBorder="1" applyAlignment="1">
      <alignment vertical="center"/>
    </xf>
    <xf numFmtId="0" fontId="20" fillId="2" borderId="3" xfId="0" applyFont="1" applyFill="1" applyBorder="1" applyAlignment="1">
      <alignment horizontal="left" vertical="center" wrapText="1"/>
    </xf>
    <xf numFmtId="0" fontId="20" fillId="0" borderId="3" xfId="1" applyFont="1" applyFill="1" applyBorder="1" applyAlignment="1">
      <alignment wrapText="1"/>
    </xf>
    <xf numFmtId="0" fontId="20" fillId="2" borderId="3" xfId="1" applyNumberFormat="1" applyFont="1" applyFill="1" applyBorder="1" applyAlignment="1">
      <alignment horizontal="justify" vertical="center" wrapText="1"/>
    </xf>
    <xf numFmtId="43" fontId="20" fillId="2" borderId="3" xfId="12" applyFont="1" applyFill="1" applyBorder="1" applyAlignment="1">
      <alignment vertical="center" wrapText="1"/>
    </xf>
    <xf numFmtId="0" fontId="20" fillId="2" borderId="3" xfId="1" applyFont="1" applyFill="1" applyBorder="1" applyAlignment="1">
      <alignment vertical="center" wrapText="1"/>
    </xf>
    <xf numFmtId="0" fontId="20" fillId="2" borderId="3" xfId="1" applyFont="1" applyFill="1" applyBorder="1" applyAlignment="1">
      <alignment horizontal="left"/>
    </xf>
    <xf numFmtId="167" fontId="20" fillId="2" borderId="3" xfId="12" applyNumberFormat="1" applyFont="1" applyFill="1" applyBorder="1" applyAlignment="1">
      <alignment horizontal="center" vertical="center"/>
    </xf>
    <xf numFmtId="43" fontId="20" fillId="0" borderId="3" xfId="12" applyFont="1" applyFill="1" applyBorder="1" applyAlignment="1">
      <alignment horizontal="center" vertical="center"/>
    </xf>
    <xf numFmtId="0" fontId="20" fillId="2" borderId="3" xfId="2" applyFont="1" applyFill="1" applyBorder="1" applyAlignment="1">
      <alignment horizontal="left" wrapText="1"/>
    </xf>
    <xf numFmtId="169" fontId="20" fillId="2" borderId="3" xfId="12" applyNumberFormat="1" applyFont="1" applyFill="1" applyBorder="1" applyAlignment="1">
      <alignment horizontal="right" vertical="center"/>
    </xf>
    <xf numFmtId="167" fontId="20" fillId="2" borderId="3" xfId="12" applyNumberFormat="1" applyFont="1" applyFill="1" applyBorder="1" applyAlignment="1">
      <alignment horizontal="right" vertical="center"/>
    </xf>
    <xf numFmtId="167" fontId="20" fillId="0" borderId="3" xfId="12" applyNumberFormat="1" applyFont="1" applyFill="1" applyBorder="1" applyAlignment="1">
      <alignment horizontal="right" vertical="center"/>
    </xf>
    <xf numFmtId="0" fontId="20" fillId="2" borderId="3" xfId="0" applyFont="1" applyFill="1" applyBorder="1" applyAlignment="1">
      <alignment wrapText="1"/>
    </xf>
    <xf numFmtId="0" fontId="21" fillId="2" borderId="39" xfId="0" applyFont="1" applyFill="1" applyBorder="1" applyAlignment="1">
      <alignment horizontal="center" vertical="center" wrapText="1"/>
    </xf>
    <xf numFmtId="0" fontId="21" fillId="2" borderId="39" xfId="0" applyFont="1" applyFill="1" applyBorder="1" applyAlignment="1">
      <alignment vertical="center" wrapText="1"/>
    </xf>
    <xf numFmtId="167" fontId="20" fillId="2" borderId="39" xfId="12" applyNumberFormat="1" applyFont="1" applyFill="1" applyBorder="1" applyAlignment="1">
      <alignment horizontal="center" vertical="center" wrapText="1"/>
    </xf>
    <xf numFmtId="169" fontId="20" fillId="2" borderId="39" xfId="12" applyNumberFormat="1" applyFont="1" applyFill="1" applyBorder="1" applyAlignment="1">
      <alignment horizontal="center" vertical="center" wrapText="1"/>
    </xf>
    <xf numFmtId="172" fontId="20" fillId="2" borderId="39" xfId="13" applyNumberFormat="1" applyFont="1" applyFill="1" applyBorder="1" applyAlignment="1">
      <alignment horizontal="center" vertical="center" wrapText="1"/>
    </xf>
    <xf numFmtId="0" fontId="8" fillId="0" borderId="0" xfId="0" applyFont="1"/>
    <xf numFmtId="0" fontId="14" fillId="0" borderId="0" xfId="0" applyFont="1" applyAlignment="1">
      <alignment horizontal="right" vertical="center"/>
    </xf>
    <xf numFmtId="0" fontId="27" fillId="0" borderId="0" xfId="0" applyFont="1" applyAlignment="1">
      <alignment vertical="center"/>
    </xf>
    <xf numFmtId="0" fontId="26" fillId="0" borderId="0" xfId="0" applyFont="1" applyAlignment="1">
      <alignment vertical="center" wrapText="1"/>
    </xf>
    <xf numFmtId="0" fontId="22" fillId="0" borderId="0" xfId="0" applyFont="1" applyAlignment="1">
      <alignment vertical="center"/>
    </xf>
    <xf numFmtId="0" fontId="8" fillId="0" borderId="41" xfId="0" applyFont="1" applyBorder="1" applyAlignment="1">
      <alignment horizontal="center" vertical="center" wrapText="1"/>
    </xf>
    <xf numFmtId="0" fontId="8" fillId="0" borderId="41" xfId="0" applyFont="1" applyBorder="1" applyAlignment="1">
      <alignment vertical="center" wrapText="1"/>
    </xf>
    <xf numFmtId="166" fontId="8" fillId="0" borderId="41" xfId="3" applyNumberFormat="1" applyFont="1" applyBorder="1" applyAlignment="1">
      <alignment horizontal="center" vertical="center" wrapText="1"/>
    </xf>
    <xf numFmtId="166" fontId="8" fillId="0" borderId="50" xfId="3" applyNumberFormat="1" applyFont="1" applyBorder="1" applyAlignment="1">
      <alignment horizontal="center" vertical="center" wrapText="1"/>
    </xf>
    <xf numFmtId="166" fontId="8" fillId="3" borderId="51" xfId="3" applyNumberFormat="1"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50" xfId="0" applyFont="1" applyBorder="1" applyAlignment="1">
      <alignment vertical="center" wrapText="1"/>
    </xf>
    <xf numFmtId="166" fontId="8" fillId="0" borderId="50" xfId="0" applyNumberFormat="1" applyFont="1" applyBorder="1" applyAlignment="1">
      <alignment vertical="center" wrapText="1"/>
    </xf>
    <xf numFmtId="177" fontId="8" fillId="0" borderId="50" xfId="0" applyNumberFormat="1" applyFont="1" applyBorder="1" applyAlignment="1">
      <alignment vertical="center" wrapText="1"/>
    </xf>
    <xf numFmtId="166" fontId="8" fillId="0" borderId="41" xfId="0" applyNumberFormat="1" applyFont="1" applyBorder="1" applyAlignment="1">
      <alignment vertical="center" wrapText="1"/>
    </xf>
    <xf numFmtId="177" fontId="8" fillId="0" borderId="41" xfId="0" applyNumberFormat="1" applyFont="1" applyBorder="1" applyAlignment="1">
      <alignment vertical="center" wrapText="1"/>
    </xf>
    <xf numFmtId="0" fontId="8" fillId="0" borderId="51" xfId="0" applyFont="1" applyBorder="1" applyAlignment="1">
      <alignment horizontal="center" vertical="center" wrapText="1"/>
    </xf>
    <xf numFmtId="0" fontId="8" fillId="0" borderId="51" xfId="0" applyFont="1" applyBorder="1" applyAlignment="1">
      <alignment vertical="center" wrapText="1"/>
    </xf>
    <xf numFmtId="166" fontId="8" fillId="0" borderId="51" xfId="0" applyNumberFormat="1" applyFont="1" applyBorder="1" applyAlignment="1">
      <alignment vertical="center" wrapText="1"/>
    </xf>
    <xf numFmtId="177" fontId="8" fillId="0" borderId="51" xfId="0" applyNumberFormat="1"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vertical="center" wrapText="1"/>
    </xf>
    <xf numFmtId="3" fontId="24" fillId="3" borderId="0" xfId="14" applyNumberFormat="1" applyFont="1" applyFill="1" applyAlignment="1">
      <alignment vertical="center"/>
    </xf>
    <xf numFmtId="0" fontId="24" fillId="3" borderId="0" xfId="14" applyFont="1" applyFill="1" applyAlignment="1">
      <alignment vertical="center"/>
    </xf>
    <xf numFmtId="3" fontId="7" fillId="3" borderId="0" xfId="14" applyNumberFormat="1" applyFont="1" applyFill="1" applyAlignment="1">
      <alignment vertical="center"/>
    </xf>
    <xf numFmtId="0" fontId="7" fillId="3" borderId="0" xfId="14" applyFont="1" applyFill="1" applyAlignment="1">
      <alignment vertical="center"/>
    </xf>
    <xf numFmtId="0" fontId="21" fillId="0" borderId="22" xfId="0" applyFont="1" applyBorder="1" applyAlignment="1">
      <alignment horizontal="center" vertical="center" wrapText="1"/>
    </xf>
    <xf numFmtId="0" fontId="20" fillId="0" borderId="3" xfId="0" applyFont="1" applyBorder="1" applyAlignment="1">
      <alignment horizontal="center" vertical="center"/>
    </xf>
    <xf numFmtId="0" fontId="20" fillId="0" borderId="0" xfId="0" applyFont="1" applyAlignment="1">
      <alignment horizontal="center"/>
    </xf>
    <xf numFmtId="0" fontId="21" fillId="0" borderId="37" xfId="0" applyFont="1" applyBorder="1" applyAlignment="1">
      <alignment horizontal="left" vertical="center" wrapText="1"/>
    </xf>
    <xf numFmtId="167" fontId="21" fillId="0" borderId="37" xfId="3" applyNumberFormat="1" applyFont="1" applyBorder="1" applyAlignment="1">
      <alignment horizontal="center" vertical="center"/>
    </xf>
    <xf numFmtId="167" fontId="21" fillId="0" borderId="37" xfId="3" applyNumberFormat="1" applyFont="1" applyBorder="1" applyAlignment="1">
      <alignment horizontal="center"/>
    </xf>
    <xf numFmtId="9" fontId="21" fillId="0" borderId="37" xfId="10" applyFont="1" applyBorder="1" applyAlignment="1">
      <alignment horizontal="center"/>
    </xf>
    <xf numFmtId="166" fontId="20" fillId="0" borderId="3" xfId="3" applyNumberFormat="1" applyFont="1" applyBorder="1" applyAlignment="1">
      <alignment horizontal="center" vertical="center"/>
    </xf>
    <xf numFmtId="9" fontId="20" fillId="0" borderId="3" xfId="10" applyFont="1" applyBorder="1" applyAlignment="1">
      <alignment horizontal="center" vertical="center"/>
    </xf>
    <xf numFmtId="0" fontId="25" fillId="0" borderId="3" xfId="0" applyFont="1" applyBorder="1" applyAlignment="1">
      <alignment vertical="center" wrapText="1"/>
    </xf>
    <xf numFmtId="0" fontId="20" fillId="2" borderId="1"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40" xfId="0" applyFont="1" applyFill="1" applyBorder="1" applyAlignment="1">
      <alignment vertical="center" wrapText="1"/>
    </xf>
    <xf numFmtId="0" fontId="21" fillId="2" borderId="41" xfId="0" applyFont="1" applyFill="1" applyBorder="1" applyAlignment="1">
      <alignment horizontal="center" vertical="center" wrapText="1"/>
    </xf>
    <xf numFmtId="0" fontId="21" fillId="2" borderId="41" xfId="0" applyFont="1" applyFill="1" applyBorder="1" applyAlignment="1">
      <alignment vertical="center" wrapText="1"/>
    </xf>
    <xf numFmtId="0" fontId="20" fillId="2" borderId="41" xfId="0" applyFont="1" applyFill="1" applyBorder="1" applyAlignment="1">
      <alignment horizontal="center" vertical="center" wrapText="1"/>
    </xf>
    <xf numFmtId="0" fontId="20" fillId="2" borderId="41" xfId="0" applyFont="1" applyFill="1" applyBorder="1" applyAlignment="1">
      <alignment vertical="center" wrapText="1"/>
    </xf>
    <xf numFmtId="169" fontId="20" fillId="0" borderId="41" xfId="3" applyNumberFormat="1" applyFont="1" applyBorder="1" applyAlignment="1">
      <alignment horizontal="center" vertical="center" wrapText="1"/>
    </xf>
    <xf numFmtId="167" fontId="20" fillId="0" borderId="41" xfId="3" applyNumberFormat="1" applyFont="1" applyBorder="1" applyAlignment="1">
      <alignment horizontal="center" vertical="center" wrapText="1"/>
    </xf>
    <xf numFmtId="0" fontId="20" fillId="2" borderId="42" xfId="0" applyFont="1" applyFill="1" applyBorder="1" applyAlignment="1">
      <alignment horizontal="center" vertical="center" wrapText="1"/>
    </xf>
    <xf numFmtId="0" fontId="20" fillId="2" borderId="42" xfId="0" applyFont="1" applyFill="1" applyBorder="1" applyAlignment="1">
      <alignment vertical="center" wrapText="1"/>
    </xf>
    <xf numFmtId="0" fontId="25" fillId="0" borderId="0" xfId="0" applyFont="1" applyAlignment="1">
      <alignment vertical="center"/>
    </xf>
    <xf numFmtId="0" fontId="20" fillId="0" borderId="0" xfId="0" applyFont="1" applyAlignment="1">
      <alignment vertical="center"/>
    </xf>
    <xf numFmtId="0" fontId="25" fillId="3" borderId="1"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0" fillId="2" borderId="6" xfId="0" applyFont="1" applyFill="1" applyBorder="1" applyAlignment="1">
      <alignment horizontal="center" vertical="center" wrapText="1"/>
    </xf>
    <xf numFmtId="167" fontId="21" fillId="2" borderId="40" xfId="3" applyNumberFormat="1" applyFont="1" applyFill="1" applyBorder="1" applyAlignment="1">
      <alignment horizontal="center" vertical="center" wrapText="1"/>
    </xf>
    <xf numFmtId="167" fontId="20" fillId="2" borderId="41" xfId="3" applyNumberFormat="1" applyFont="1" applyFill="1" applyBorder="1" applyAlignment="1">
      <alignment horizontal="center" vertical="center" wrapText="1"/>
    </xf>
    <xf numFmtId="0" fontId="20" fillId="2" borderId="42" xfId="0" applyFont="1" applyFill="1" applyBorder="1" applyAlignment="1">
      <alignment vertical="top" wrapText="1"/>
    </xf>
    <xf numFmtId="167" fontId="20" fillId="2" borderId="42" xfId="3" applyNumberFormat="1" applyFont="1" applyFill="1" applyBorder="1" applyAlignment="1">
      <alignment horizontal="center" vertical="center" wrapText="1"/>
    </xf>
    <xf numFmtId="0" fontId="29" fillId="0" borderId="0" xfId="0" applyFont="1" applyAlignment="1">
      <alignment vertical="center"/>
    </xf>
    <xf numFmtId="166" fontId="20" fillId="0" borderId="0" xfId="3" applyNumberFormat="1" applyFont="1"/>
    <xf numFmtId="0" fontId="20" fillId="0" borderId="0" xfId="0" applyFont="1" applyAlignment="1">
      <alignment horizontal="right" vertical="center"/>
    </xf>
    <xf numFmtId="0" fontId="20" fillId="2" borderId="18"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48" xfId="0" applyFont="1" applyFill="1" applyBorder="1" applyAlignment="1">
      <alignment vertical="center" wrapText="1"/>
    </xf>
    <xf numFmtId="167" fontId="21" fillId="2" borderId="48" xfId="3" applyNumberFormat="1" applyFont="1" applyFill="1" applyBorder="1" applyAlignment="1">
      <alignment horizontal="center" vertical="center" wrapText="1"/>
    </xf>
    <xf numFmtId="0" fontId="21" fillId="0" borderId="0" xfId="0" applyFont="1" applyBorder="1"/>
    <xf numFmtId="0" fontId="20" fillId="0" borderId="0" xfId="0" applyFont="1" applyBorder="1"/>
    <xf numFmtId="43" fontId="20" fillId="0" borderId="0" xfId="0" applyNumberFormat="1" applyFont="1"/>
    <xf numFmtId="168" fontId="20" fillId="0" borderId="0" xfId="0" applyNumberFormat="1" applyFont="1"/>
    <xf numFmtId="0" fontId="20" fillId="0" borderId="2" xfId="0" applyFont="1" applyBorder="1" applyAlignment="1">
      <alignment horizontal="center" vertical="center" wrapText="1"/>
    </xf>
    <xf numFmtId="0" fontId="21" fillId="0" borderId="3" xfId="0" applyFont="1" applyBorder="1" applyAlignment="1">
      <alignment vertical="center" wrapText="1"/>
    </xf>
    <xf numFmtId="167" fontId="21" fillId="0" borderId="3" xfId="3" applyNumberFormat="1" applyFont="1" applyBorder="1" applyAlignment="1">
      <alignment horizontal="center" vertical="center" wrapText="1"/>
    </xf>
    <xf numFmtId="0" fontId="21" fillId="0" borderId="3" xfId="0" applyFont="1" applyBorder="1" applyAlignment="1">
      <alignment horizontal="center" vertical="center" wrapText="1"/>
    </xf>
    <xf numFmtId="167" fontId="21" fillId="2" borderId="3" xfId="3" applyNumberFormat="1" applyFont="1" applyFill="1" applyBorder="1" applyAlignment="1">
      <alignment horizontal="center" vertical="center" wrapText="1"/>
    </xf>
    <xf numFmtId="0" fontId="20" fillId="0" borderId="3" xfId="1" applyNumberFormat="1" applyFont="1" applyFill="1" applyBorder="1" applyAlignment="1">
      <alignment horizontal="justify" vertical="center" wrapText="1"/>
    </xf>
    <xf numFmtId="43" fontId="20" fillId="0" borderId="0" xfId="3" applyFont="1"/>
    <xf numFmtId="0" fontId="20" fillId="0" borderId="0" xfId="0" applyFont="1" applyFill="1" applyBorder="1" applyAlignment="1">
      <alignment horizontal="right" vertical="center" wrapText="1"/>
    </xf>
    <xf numFmtId="0" fontId="20" fillId="0" borderId="0" xfId="0" applyFont="1" applyFill="1"/>
    <xf numFmtId="0" fontId="25" fillId="0" borderId="0" xfId="0" applyFont="1" applyFill="1" applyAlignment="1">
      <alignment horizontal="right" vertical="center"/>
    </xf>
    <xf numFmtId="0" fontId="25" fillId="0" borderId="0" xfId="0" applyFont="1" applyFill="1" applyBorder="1" applyAlignment="1">
      <alignment horizontal="right" vertical="center"/>
    </xf>
    <xf numFmtId="43" fontId="20" fillId="0" borderId="0" xfId="0" applyNumberFormat="1" applyFont="1" applyFill="1"/>
    <xf numFmtId="168" fontId="20" fillId="0" borderId="0" xfId="0" applyNumberFormat="1" applyFont="1" applyFill="1"/>
    <xf numFmtId="0" fontId="20" fillId="0" borderId="5"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7" xfId="0" applyFont="1" applyFill="1" applyBorder="1" applyAlignment="1">
      <alignment vertical="center" wrapText="1"/>
    </xf>
    <xf numFmtId="167" fontId="21" fillId="0" borderId="37" xfId="3" applyNumberFormat="1" applyFont="1" applyFill="1" applyBorder="1" applyAlignment="1">
      <alignment horizontal="center" vertical="center" wrapText="1"/>
    </xf>
    <xf numFmtId="0" fontId="21" fillId="0" borderId="0" xfId="0" applyFont="1" applyFill="1"/>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0"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0" fillId="0" borderId="3" xfId="0" applyFont="1" applyFill="1" applyBorder="1" applyAlignment="1">
      <alignment vertical="center" wrapText="1"/>
    </xf>
    <xf numFmtId="167" fontId="20" fillId="0" borderId="0" xfId="0" applyNumberFormat="1" applyFont="1" applyFill="1"/>
    <xf numFmtId="0" fontId="25" fillId="0" borderId="3" xfId="0" applyFont="1" applyFill="1" applyBorder="1" applyAlignment="1">
      <alignment horizontal="center" vertical="center" wrapText="1"/>
    </xf>
    <xf numFmtId="168" fontId="21" fillId="0" borderId="0" xfId="3" applyNumberFormat="1" applyFont="1" applyFill="1"/>
    <xf numFmtId="179" fontId="20" fillId="0" borderId="0" xfId="3" applyNumberFormat="1" applyFont="1" applyFill="1"/>
    <xf numFmtId="168" fontId="21" fillId="0" borderId="0" xfId="0" applyNumberFormat="1" applyFont="1" applyFill="1"/>
    <xf numFmtId="0" fontId="20" fillId="0" borderId="3" xfId="0" quotePrefix="1" applyFont="1" applyFill="1" applyBorder="1" applyAlignment="1">
      <alignment horizontal="center" vertical="center" wrapText="1"/>
    </xf>
    <xf numFmtId="0" fontId="20" fillId="0" borderId="3" xfId="0" applyFont="1" applyFill="1" applyBorder="1" applyAlignment="1">
      <alignment horizontal="left" vertical="center" wrapText="1"/>
    </xf>
    <xf numFmtId="0" fontId="21" fillId="0" borderId="47" xfId="0" applyFont="1" applyFill="1" applyBorder="1" applyAlignment="1">
      <alignment horizontal="center" vertical="center" wrapText="1"/>
    </xf>
    <xf numFmtId="0" fontId="21" fillId="0" borderId="47" xfId="0" applyFont="1" applyFill="1" applyBorder="1" applyAlignment="1">
      <alignment vertical="center" wrapText="1"/>
    </xf>
    <xf numFmtId="0" fontId="20" fillId="0" borderId="5" xfId="0" applyFont="1" applyFill="1" applyBorder="1" applyAlignment="1">
      <alignment vertical="center" wrapText="1"/>
    </xf>
    <xf numFmtId="0" fontId="20" fillId="0" borderId="5" xfId="0" applyFont="1" applyFill="1" applyBorder="1"/>
    <xf numFmtId="0" fontId="25" fillId="0" borderId="0" xfId="0" applyFont="1" applyFill="1" applyAlignment="1">
      <alignment vertical="center"/>
    </xf>
    <xf numFmtId="0" fontId="20" fillId="0" borderId="0" xfId="0" applyFont="1" applyFill="1" applyAlignment="1">
      <alignment vertical="center"/>
    </xf>
    <xf numFmtId="0" fontId="21" fillId="0" borderId="1"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0" xfId="0" applyFont="1" applyBorder="1" applyAlignment="1">
      <alignment horizontal="center" vertical="center" wrapText="1"/>
    </xf>
    <xf numFmtId="167" fontId="21" fillId="0" borderId="40" xfId="3" applyNumberFormat="1" applyFont="1" applyBorder="1" applyAlignment="1">
      <alignment horizontal="center" vertical="center" wrapText="1"/>
    </xf>
    <xf numFmtId="0" fontId="21" fillId="0" borderId="41" xfId="0" applyFont="1" applyBorder="1" applyAlignment="1">
      <alignment horizontal="center" vertical="center" wrapText="1"/>
    </xf>
    <xf numFmtId="0" fontId="21" fillId="0" borderId="41" xfId="0" applyFont="1" applyBorder="1" applyAlignment="1">
      <alignment vertical="center" wrapText="1"/>
    </xf>
    <xf numFmtId="167" fontId="21" fillId="0" borderId="41" xfId="3" applyNumberFormat="1" applyFont="1" applyBorder="1" applyAlignment="1">
      <alignment horizontal="center" vertical="center" wrapText="1"/>
    </xf>
    <xf numFmtId="0" fontId="20" fillId="0" borderId="41" xfId="0" applyFont="1" applyBorder="1" applyAlignment="1">
      <alignment horizontal="center" vertical="center" wrapText="1"/>
    </xf>
    <xf numFmtId="0" fontId="20" fillId="0" borderId="41" xfId="0" applyFont="1" applyBorder="1" applyAlignment="1">
      <alignment vertical="center" wrapText="1"/>
    </xf>
    <xf numFmtId="169" fontId="21" fillId="0" borderId="41" xfId="3" applyNumberFormat="1" applyFont="1" applyBorder="1" applyAlignment="1">
      <alignment horizontal="center" vertical="center" wrapText="1"/>
    </xf>
    <xf numFmtId="0" fontId="21" fillId="0" borderId="42" xfId="0" applyFont="1" applyBorder="1" applyAlignment="1">
      <alignment horizontal="center" vertical="center" wrapText="1"/>
    </xf>
    <xf numFmtId="0" fontId="21" fillId="0" borderId="42" xfId="0" applyFont="1" applyBorder="1" applyAlignment="1">
      <alignment vertical="center" wrapText="1"/>
    </xf>
    <xf numFmtId="167" fontId="21" fillId="0" borderId="42" xfId="3" applyNumberFormat="1" applyFont="1" applyBorder="1" applyAlignment="1">
      <alignment horizontal="center" vertical="center" wrapText="1"/>
    </xf>
    <xf numFmtId="178" fontId="20" fillId="0" borderId="0" xfId="0" applyNumberFormat="1" applyFont="1"/>
    <xf numFmtId="0" fontId="20" fillId="0" borderId="9" xfId="0" applyFont="1" applyBorder="1"/>
    <xf numFmtId="170" fontId="20" fillId="0" borderId="0" xfId="0" applyNumberFormat="1" applyFont="1"/>
    <xf numFmtId="173" fontId="20" fillId="0" borderId="0" xfId="0" applyNumberFormat="1" applyFont="1"/>
    <xf numFmtId="0" fontId="21" fillId="0" borderId="30" xfId="0" applyFont="1" applyBorder="1" applyAlignment="1">
      <alignment horizontal="center" vertical="center" wrapText="1"/>
    </xf>
    <xf numFmtId="43" fontId="21" fillId="0" borderId="30" xfId="0" applyNumberFormat="1" applyFont="1" applyBorder="1" applyAlignment="1">
      <alignment horizontal="center" vertical="center" wrapText="1"/>
    </xf>
    <xf numFmtId="0" fontId="21" fillId="0" borderId="2" xfId="0" applyFont="1" applyBorder="1" applyAlignment="1">
      <alignment vertical="center" wrapText="1"/>
    </xf>
    <xf numFmtId="167" fontId="21" fillId="0" borderId="2" xfId="3" applyNumberFormat="1" applyFont="1" applyBorder="1" applyAlignment="1">
      <alignment horizontal="center" vertical="center" wrapText="1"/>
    </xf>
    <xf numFmtId="173" fontId="21" fillId="0" borderId="0" xfId="0" applyNumberFormat="1" applyFont="1"/>
    <xf numFmtId="0" fontId="21" fillId="0" borderId="38" xfId="0" applyFont="1" applyBorder="1" applyAlignment="1">
      <alignment horizontal="center" vertical="center" wrapText="1"/>
    </xf>
    <xf numFmtId="0" fontId="21" fillId="0" borderId="38" xfId="0" applyFont="1" applyBorder="1" applyAlignment="1">
      <alignment vertical="center" wrapText="1"/>
    </xf>
    <xf numFmtId="167" fontId="21" fillId="0" borderId="38" xfId="3" applyNumberFormat="1" applyFont="1" applyBorder="1" applyAlignment="1">
      <alignment horizontal="center" vertical="center" wrapText="1"/>
    </xf>
    <xf numFmtId="168" fontId="20" fillId="2" borderId="3" xfId="3" applyNumberFormat="1" applyFont="1" applyFill="1" applyBorder="1" applyAlignment="1">
      <alignment horizontal="center" vertical="center" wrapText="1"/>
    </xf>
    <xf numFmtId="168" fontId="21" fillId="2" borderId="3" xfId="3" applyNumberFormat="1" applyFont="1" applyFill="1" applyBorder="1" applyAlignment="1">
      <alignment horizontal="center" vertical="center" wrapText="1"/>
    </xf>
    <xf numFmtId="0" fontId="20" fillId="3" borderId="3" xfId="0" quotePrefix="1" applyFont="1" applyFill="1" applyBorder="1" applyAlignment="1">
      <alignment horizontal="left" vertical="center" wrapText="1"/>
    </xf>
    <xf numFmtId="179" fontId="20" fillId="2" borderId="3" xfId="3" applyNumberFormat="1"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47" xfId="0" applyFont="1" applyFill="1" applyBorder="1" applyAlignment="1">
      <alignment vertical="center" wrapText="1"/>
    </xf>
    <xf numFmtId="167" fontId="21" fillId="2" borderId="47" xfId="3" applyNumberFormat="1" applyFont="1" applyFill="1" applyBorder="1" applyAlignment="1">
      <alignment horizontal="center" vertical="center" wrapText="1"/>
    </xf>
    <xf numFmtId="179" fontId="21" fillId="2" borderId="47" xfId="3" applyNumberFormat="1" applyFont="1" applyFill="1" applyBorder="1" applyAlignment="1">
      <alignment horizontal="center" vertical="center" wrapText="1"/>
    </xf>
    <xf numFmtId="43" fontId="20" fillId="2" borderId="0" xfId="3" applyFont="1" applyFill="1"/>
    <xf numFmtId="168" fontId="20" fillId="2" borderId="0" xfId="3" applyNumberFormat="1" applyFont="1" applyFill="1"/>
    <xf numFmtId="179" fontId="20" fillId="2" borderId="0" xfId="0" applyNumberFormat="1" applyFont="1" applyFill="1"/>
    <xf numFmtId="0" fontId="21" fillId="2" borderId="23" xfId="0" applyFont="1" applyFill="1" applyBorder="1" applyAlignment="1">
      <alignment horizontal="center" vertical="center" wrapText="1"/>
    </xf>
    <xf numFmtId="0" fontId="21" fillId="0" borderId="23" xfId="0" applyFont="1" applyBorder="1" applyAlignment="1">
      <alignment horizontal="center" vertical="center" wrapText="1"/>
    </xf>
    <xf numFmtId="167" fontId="21" fillId="2" borderId="41" xfId="3" applyNumberFormat="1" applyFont="1" applyFill="1" applyBorder="1" applyAlignment="1">
      <alignment horizontal="center" vertical="center" wrapText="1"/>
    </xf>
    <xf numFmtId="0" fontId="25" fillId="0" borderId="0" xfId="0" applyFont="1" applyBorder="1" applyAlignment="1">
      <alignment vertical="center" wrapText="1"/>
    </xf>
    <xf numFmtId="0" fontId="30" fillId="3" borderId="0" xfId="14" applyFont="1" applyFill="1" applyAlignment="1">
      <alignment vertical="center"/>
    </xf>
    <xf numFmtId="0" fontId="31" fillId="3" borderId="0" xfId="14" applyFont="1" applyFill="1" applyAlignment="1">
      <alignment horizontal="center" vertical="center"/>
    </xf>
    <xf numFmtId="0" fontId="31" fillId="3" borderId="0" xfId="14" applyFont="1" applyFill="1" applyAlignment="1">
      <alignment vertical="center"/>
    </xf>
    <xf numFmtId="0" fontId="31" fillId="3" borderId="0" xfId="14" applyFont="1" applyFill="1" applyAlignment="1">
      <alignment horizontal="center" vertical="center" wrapText="1"/>
    </xf>
    <xf numFmtId="0" fontId="31" fillId="3" borderId="0" xfId="14" applyFont="1" applyFill="1" applyAlignment="1">
      <alignment vertical="center" wrapText="1"/>
    </xf>
    <xf numFmtId="180" fontId="31" fillId="3" borderId="0" xfId="14" applyNumberFormat="1" applyFont="1" applyFill="1" applyAlignment="1">
      <alignment vertical="center"/>
    </xf>
    <xf numFmtId="180" fontId="31" fillId="3" borderId="0" xfId="14" applyNumberFormat="1" applyFont="1" applyFill="1" applyAlignment="1">
      <alignment horizontal="right" vertical="center"/>
    </xf>
    <xf numFmtId="3" fontId="31" fillId="3" borderId="22" xfId="16" applyNumberFormat="1" applyFont="1" applyFill="1" applyBorder="1" applyAlignment="1">
      <alignment horizontal="center" vertical="center" wrapText="1"/>
    </xf>
    <xf numFmtId="3" fontId="32" fillId="3" borderId="22" xfId="16" applyNumberFormat="1" applyFont="1" applyFill="1" applyBorder="1" applyAlignment="1">
      <alignment horizontal="center" vertical="center" wrapText="1"/>
    </xf>
    <xf numFmtId="180" fontId="31" fillId="3" borderId="22" xfId="16" applyNumberFormat="1" applyFont="1" applyFill="1" applyBorder="1" applyAlignment="1">
      <alignment horizontal="center" vertical="center" wrapText="1"/>
    </xf>
    <xf numFmtId="180" fontId="31" fillId="3" borderId="5" xfId="16" applyNumberFormat="1" applyFont="1" applyFill="1" applyBorder="1" applyAlignment="1">
      <alignment vertical="center" wrapText="1"/>
    </xf>
    <xf numFmtId="0" fontId="32" fillId="3" borderId="37" xfId="15" applyFont="1" applyFill="1" applyBorder="1" applyAlignment="1">
      <alignment horizontal="center" vertical="center" wrapText="1"/>
    </xf>
    <xf numFmtId="0" fontId="32" fillId="3" borderId="37" xfId="14" applyFont="1" applyFill="1" applyBorder="1" applyAlignment="1">
      <alignment horizontal="center" vertical="center" wrapText="1"/>
    </xf>
    <xf numFmtId="3" fontId="32" fillId="3" borderId="37" xfId="16" quotePrefix="1" applyNumberFormat="1" applyFont="1" applyFill="1" applyBorder="1" applyAlignment="1">
      <alignment horizontal="center" vertical="center" wrapText="1"/>
    </xf>
    <xf numFmtId="0" fontId="33" fillId="3" borderId="37" xfId="14" quotePrefix="1" applyFont="1" applyFill="1" applyBorder="1" applyAlignment="1">
      <alignment horizontal="center" vertical="center"/>
    </xf>
    <xf numFmtId="0" fontId="33" fillId="3" borderId="37" xfId="14" applyFont="1" applyFill="1" applyBorder="1" applyAlignment="1">
      <alignment horizontal="center" vertical="center" wrapText="1"/>
    </xf>
    <xf numFmtId="0" fontId="33" fillId="3" borderId="37" xfId="14" applyFont="1" applyFill="1" applyBorder="1" applyAlignment="1">
      <alignment horizontal="center" vertical="center"/>
    </xf>
    <xf numFmtId="181" fontId="33" fillId="3" borderId="37" xfId="14" applyNumberFormat="1" applyFont="1" applyFill="1" applyBorder="1" applyAlignment="1">
      <alignment horizontal="right" vertical="center"/>
    </xf>
    <xf numFmtId="3" fontId="33" fillId="3" borderId="37" xfId="14" applyNumberFormat="1" applyFont="1" applyFill="1" applyBorder="1" applyAlignment="1">
      <alignment horizontal="justify" vertical="center" wrapText="1"/>
    </xf>
    <xf numFmtId="0" fontId="33" fillId="3" borderId="3" xfId="14" quotePrefix="1" applyFont="1" applyFill="1" applyBorder="1" applyAlignment="1">
      <alignment horizontal="center" vertical="center"/>
    </xf>
    <xf numFmtId="0" fontId="33" fillId="3" borderId="3" xfId="14" applyFont="1" applyFill="1" applyBorder="1" applyAlignment="1">
      <alignment horizontal="left" vertical="center" wrapText="1"/>
    </xf>
    <xf numFmtId="0" fontId="33" fillId="3" borderId="3" xfId="14" applyFont="1" applyFill="1" applyBorder="1" applyAlignment="1">
      <alignment horizontal="center" vertical="center" wrapText="1"/>
    </xf>
    <xf numFmtId="0" fontId="33" fillId="3" borderId="3" xfId="14" applyFont="1" applyFill="1" applyBorder="1" applyAlignment="1">
      <alignment horizontal="center" vertical="center"/>
    </xf>
    <xf numFmtId="3" fontId="33" fillId="3" borderId="3" xfId="14" applyNumberFormat="1" applyFont="1" applyFill="1" applyBorder="1" applyAlignment="1">
      <alignment vertical="center" wrapText="1"/>
    </xf>
    <xf numFmtId="181" fontId="33" fillId="3" borderId="3" xfId="14" applyNumberFormat="1" applyFont="1" applyFill="1" applyBorder="1" applyAlignment="1">
      <alignment vertical="center"/>
    </xf>
    <xf numFmtId="182" fontId="33" fillId="3" borderId="3" xfId="14" applyNumberFormat="1" applyFont="1" applyFill="1" applyBorder="1" applyAlignment="1">
      <alignment vertical="center"/>
    </xf>
    <xf numFmtId="3" fontId="31" fillId="3" borderId="3" xfId="14" applyNumberFormat="1" applyFont="1" applyFill="1" applyBorder="1" applyAlignment="1">
      <alignment horizontal="justify" vertical="center" wrapText="1"/>
    </xf>
    <xf numFmtId="0" fontId="31" fillId="3" borderId="3" xfId="15" applyFont="1" applyFill="1" applyBorder="1" applyAlignment="1">
      <alignment horizontal="center" vertical="center" wrapText="1"/>
    </xf>
    <xf numFmtId="4" fontId="33" fillId="3" borderId="3" xfId="14" applyNumberFormat="1" applyFont="1" applyFill="1" applyBorder="1" applyAlignment="1">
      <alignment horizontal="center" vertical="center" wrapText="1"/>
    </xf>
    <xf numFmtId="3" fontId="33" fillId="3" borderId="3" xfId="14" applyNumberFormat="1" applyFont="1" applyFill="1" applyBorder="1" applyAlignment="1">
      <alignment horizontal="justify" vertical="center" wrapText="1"/>
    </xf>
    <xf numFmtId="0" fontId="33" fillId="3" borderId="3" xfId="14" applyFont="1" applyFill="1" applyBorder="1" applyAlignment="1">
      <alignment horizontal="justify" vertical="center" wrapText="1"/>
    </xf>
    <xf numFmtId="181" fontId="33" fillId="3" borderId="3" xfId="14" applyNumberFormat="1" applyFont="1" applyFill="1" applyBorder="1" applyAlignment="1">
      <alignment horizontal="right" vertical="center"/>
    </xf>
    <xf numFmtId="182" fontId="33" fillId="3" borderId="3" xfId="14" applyNumberFormat="1" applyFont="1" applyFill="1" applyBorder="1" applyAlignment="1">
      <alignment horizontal="right" vertical="center"/>
    </xf>
    <xf numFmtId="3" fontId="31" fillId="3" borderId="3" xfId="16" quotePrefix="1" applyNumberFormat="1" applyFont="1" applyFill="1" applyBorder="1" applyAlignment="1">
      <alignment horizontal="center" vertical="center" wrapText="1"/>
    </xf>
    <xf numFmtId="1" fontId="31" fillId="3" borderId="3" xfId="16" applyNumberFormat="1" applyFont="1" applyFill="1" applyBorder="1" applyAlignment="1">
      <alignment vertical="center" wrapText="1"/>
    </xf>
    <xf numFmtId="3" fontId="31" fillId="3" borderId="3" xfId="17" applyNumberFormat="1" applyFont="1" applyFill="1" applyBorder="1" applyAlignment="1">
      <alignment horizontal="center" vertical="center" wrapText="1"/>
    </xf>
    <xf numFmtId="0" fontId="31" fillId="3" borderId="3" xfId="14" applyFont="1" applyFill="1" applyBorder="1" applyAlignment="1">
      <alignment horizontal="center" vertical="center" wrapText="1"/>
    </xf>
    <xf numFmtId="0" fontId="31" fillId="3" borderId="3" xfId="17" applyFont="1" applyFill="1" applyBorder="1" applyAlignment="1">
      <alignment horizontal="center" vertical="center" wrapText="1"/>
    </xf>
    <xf numFmtId="181" fontId="31" fillId="3" borderId="3" xfId="16" applyNumberFormat="1" applyFont="1" applyFill="1" applyBorder="1" applyAlignment="1">
      <alignment horizontal="center" vertical="center" wrapText="1"/>
    </xf>
    <xf numFmtId="181" fontId="31" fillId="3" borderId="3" xfId="16" applyNumberFormat="1" applyFont="1" applyFill="1" applyBorder="1" applyAlignment="1">
      <alignment horizontal="right" vertical="center" wrapText="1"/>
    </xf>
    <xf numFmtId="181" fontId="31" fillId="3" borderId="3" xfId="14" applyNumberFormat="1" applyFont="1" applyFill="1" applyBorder="1" applyAlignment="1">
      <alignment vertical="center"/>
    </xf>
    <xf numFmtId="180" fontId="33" fillId="3" borderId="3" xfId="14" applyNumberFormat="1" applyFont="1" applyFill="1" applyBorder="1" applyAlignment="1">
      <alignment vertical="center"/>
    </xf>
    <xf numFmtId="180" fontId="33" fillId="3" borderId="3" xfId="14" applyNumberFormat="1" applyFont="1" applyFill="1" applyBorder="1" applyAlignment="1">
      <alignment horizontal="right" vertical="center"/>
    </xf>
    <xf numFmtId="181" fontId="31" fillId="3" borderId="3" xfId="14" applyNumberFormat="1" applyFont="1" applyFill="1" applyBorder="1" applyAlignment="1">
      <alignment horizontal="right" vertical="center"/>
    </xf>
    <xf numFmtId="180" fontId="31" fillId="3" borderId="3" xfId="14" applyNumberFormat="1" applyFont="1" applyFill="1" applyBorder="1" applyAlignment="1">
      <alignment vertical="center"/>
    </xf>
    <xf numFmtId="180" fontId="31" fillId="3" borderId="3" xfId="14" applyNumberFormat="1" applyFont="1" applyFill="1" applyBorder="1" applyAlignment="1">
      <alignment horizontal="right" vertical="center"/>
    </xf>
    <xf numFmtId="182" fontId="31" fillId="3" borderId="3" xfId="14" applyNumberFormat="1" applyFont="1" applyFill="1" applyBorder="1" applyAlignment="1">
      <alignment horizontal="right" vertical="center"/>
    </xf>
    <xf numFmtId="181" fontId="33" fillId="3" borderId="38" xfId="14" applyNumberFormat="1" applyFont="1" applyFill="1" applyBorder="1" applyAlignment="1">
      <alignment vertical="center" wrapText="1"/>
    </xf>
    <xf numFmtId="3" fontId="31" fillId="3" borderId="3" xfId="17" applyNumberFormat="1" applyFont="1" applyFill="1" applyBorder="1" applyAlignment="1">
      <alignment horizontal="left" vertical="center" wrapText="1"/>
    </xf>
    <xf numFmtId="0" fontId="31" fillId="3" borderId="3" xfId="14" applyFont="1" applyFill="1" applyBorder="1" applyAlignment="1">
      <alignment horizontal="center" vertical="center"/>
    </xf>
    <xf numFmtId="181" fontId="31" fillId="3" borderId="3" xfId="17" applyNumberFormat="1" applyFont="1" applyFill="1" applyBorder="1" applyAlignment="1">
      <alignment horizontal="center" vertical="center" wrapText="1"/>
    </xf>
    <xf numFmtId="181" fontId="31" fillId="3" borderId="3" xfId="14" applyNumberFormat="1" applyFont="1" applyFill="1" applyBorder="1" applyAlignment="1">
      <alignment horizontal="center" vertical="center"/>
    </xf>
    <xf numFmtId="180" fontId="31" fillId="3" borderId="3" xfId="14" applyNumberFormat="1" applyFont="1" applyFill="1" applyBorder="1" applyAlignment="1">
      <alignment horizontal="center" vertical="center"/>
    </xf>
    <xf numFmtId="3" fontId="31" fillId="3" borderId="3" xfId="14" applyNumberFormat="1" applyFont="1" applyFill="1" applyBorder="1" applyAlignment="1">
      <alignment horizontal="center" vertical="center" wrapText="1"/>
    </xf>
    <xf numFmtId="3" fontId="31" fillId="3" borderId="3" xfId="17" applyNumberFormat="1" applyFont="1" applyFill="1" applyBorder="1" applyAlignment="1">
      <alignment vertical="center" wrapText="1"/>
    </xf>
    <xf numFmtId="181" fontId="33" fillId="3" borderId="38" xfId="14" applyNumberFormat="1" applyFont="1" applyFill="1" applyBorder="1" applyAlignment="1">
      <alignment horizontal="right" vertical="center"/>
    </xf>
    <xf numFmtId="0" fontId="31" fillId="3" borderId="3" xfId="14" quotePrefix="1" applyFont="1" applyFill="1" applyBorder="1" applyAlignment="1">
      <alignment horizontal="center" vertical="center"/>
    </xf>
    <xf numFmtId="0" fontId="31" fillId="3" borderId="3" xfId="14" applyFont="1" applyFill="1" applyBorder="1" applyAlignment="1">
      <alignment horizontal="justify" vertical="center" wrapText="1"/>
    </xf>
    <xf numFmtId="181" fontId="31" fillId="3" borderId="38" xfId="14" applyNumberFormat="1" applyFont="1" applyFill="1" applyBorder="1" applyAlignment="1">
      <alignment horizontal="right" vertical="center"/>
    </xf>
    <xf numFmtId="0" fontId="31" fillId="3" borderId="3" xfId="14" applyFont="1" applyFill="1" applyBorder="1" applyAlignment="1">
      <alignment vertical="center" wrapText="1"/>
    </xf>
    <xf numFmtId="181" fontId="31" fillId="3" borderId="3" xfId="14" applyNumberFormat="1" applyFont="1" applyFill="1" applyBorder="1" applyAlignment="1">
      <alignment horizontal="center" vertical="center" wrapText="1"/>
    </xf>
    <xf numFmtId="181" fontId="31" fillId="3" borderId="3" xfId="17" applyNumberFormat="1" applyFont="1" applyFill="1" applyBorder="1" applyAlignment="1">
      <alignment horizontal="right" vertical="center" wrapText="1"/>
    </xf>
    <xf numFmtId="3" fontId="33" fillId="3" borderId="3" xfId="17" applyNumberFormat="1" applyFont="1" applyFill="1" applyBorder="1" applyAlignment="1">
      <alignment vertical="center" wrapText="1"/>
    </xf>
    <xf numFmtId="181" fontId="33" fillId="3" borderId="3" xfId="14" applyNumberFormat="1" applyFont="1" applyFill="1" applyBorder="1" applyAlignment="1">
      <alignment horizontal="center" vertical="center" wrapText="1"/>
    </xf>
    <xf numFmtId="181" fontId="33" fillId="3" borderId="3" xfId="14" applyNumberFormat="1" applyFont="1" applyFill="1" applyBorder="1" applyAlignment="1">
      <alignment horizontal="right" vertical="center" wrapText="1"/>
    </xf>
    <xf numFmtId="180" fontId="33" fillId="3" borderId="3" xfId="14" applyNumberFormat="1" applyFont="1" applyFill="1" applyBorder="1" applyAlignment="1">
      <alignment horizontal="right" vertical="center" wrapText="1"/>
    </xf>
    <xf numFmtId="3" fontId="33" fillId="3" borderId="3" xfId="14" applyNumberFormat="1" applyFont="1" applyFill="1" applyBorder="1" applyAlignment="1">
      <alignment vertical="center"/>
    </xf>
    <xf numFmtId="3" fontId="33" fillId="3" borderId="3" xfId="14" applyNumberFormat="1" applyFont="1" applyFill="1" applyBorder="1" applyAlignment="1">
      <alignment horizontal="right" vertical="center"/>
    </xf>
    <xf numFmtId="181" fontId="33" fillId="3" borderId="3" xfId="14" applyNumberFormat="1" applyFont="1" applyFill="1" applyBorder="1" applyAlignment="1">
      <alignment horizontal="center" vertical="center"/>
    </xf>
    <xf numFmtId="0" fontId="34" fillId="0" borderId="0" xfId="7" applyFont="1" applyFill="1" applyAlignment="1">
      <alignment vertical="center"/>
    </xf>
    <xf numFmtId="0" fontId="34" fillId="0" borderId="0" xfId="7" applyFont="1" applyFill="1"/>
    <xf numFmtId="175" fontId="35" fillId="0" borderId="0" xfId="7" applyNumberFormat="1" applyFont="1" applyFill="1" applyBorder="1" applyAlignment="1">
      <alignment horizontal="right" vertical="center"/>
    </xf>
    <xf numFmtId="0" fontId="30" fillId="0" borderId="0" xfId="7" applyFont="1" applyFill="1"/>
    <xf numFmtId="9" fontId="30" fillId="0" borderId="0" xfId="7" applyNumberFormat="1" applyFont="1" applyFill="1"/>
    <xf numFmtId="175" fontId="34" fillId="0" borderId="2" xfId="7" applyNumberFormat="1" applyFont="1" applyFill="1" applyBorder="1" applyAlignment="1" applyProtection="1">
      <alignment horizontal="center" vertical="center" wrapText="1"/>
    </xf>
    <xf numFmtId="0" fontId="34" fillId="0" borderId="2" xfId="7" applyFont="1" applyFill="1" applyBorder="1" applyAlignment="1">
      <alignment horizontal="center" vertical="center" wrapText="1"/>
    </xf>
    <xf numFmtId="175" fontId="30" fillId="0" borderId="0" xfId="7" applyNumberFormat="1" applyFont="1" applyFill="1" applyAlignment="1">
      <alignment horizontal="center" vertical="center" wrapText="1"/>
    </xf>
    <xf numFmtId="175" fontId="30" fillId="0" borderId="0" xfId="7" applyNumberFormat="1" applyFont="1" applyFill="1" applyAlignment="1">
      <alignment vertical="center" wrapText="1"/>
    </xf>
    <xf numFmtId="175" fontId="30" fillId="0" borderId="2" xfId="7" applyNumberFormat="1" applyFont="1" applyFill="1" applyBorder="1" applyAlignment="1" applyProtection="1">
      <alignment horizontal="center" vertical="center" wrapText="1"/>
    </xf>
    <xf numFmtId="175" fontId="30" fillId="0" borderId="2" xfId="7" applyNumberFormat="1" applyFont="1" applyFill="1" applyBorder="1" applyAlignment="1">
      <alignment horizontal="center" vertical="center" wrapText="1"/>
    </xf>
    <xf numFmtId="176" fontId="30" fillId="0" borderId="0" xfId="7" applyNumberFormat="1" applyFont="1" applyFill="1" applyAlignment="1">
      <alignment vertical="center" wrapText="1"/>
    </xf>
    <xf numFmtId="175" fontId="30" fillId="0" borderId="2" xfId="7" applyNumberFormat="1" applyFont="1" applyFill="1" applyBorder="1" applyAlignment="1" applyProtection="1">
      <alignment horizontal="center" vertical="center"/>
    </xf>
    <xf numFmtId="175" fontId="30" fillId="0" borderId="2" xfId="7" applyNumberFormat="1" applyFont="1" applyFill="1" applyBorder="1" applyAlignment="1">
      <alignment horizontal="center" vertical="center"/>
    </xf>
    <xf numFmtId="168" fontId="30" fillId="0" borderId="2" xfId="3" applyNumberFormat="1" applyFont="1" applyFill="1" applyBorder="1" applyAlignment="1">
      <alignment horizontal="center" vertical="center"/>
    </xf>
    <xf numFmtId="0" fontId="30" fillId="0" borderId="0" xfId="7" applyFont="1" applyFill="1" applyAlignment="1">
      <alignment vertical="center"/>
    </xf>
    <xf numFmtId="175" fontId="30" fillId="0" borderId="37" xfId="7" applyNumberFormat="1" applyFont="1" applyFill="1" applyBorder="1" applyAlignment="1">
      <alignment horizontal="center" vertical="center"/>
    </xf>
    <xf numFmtId="175" fontId="30" fillId="0" borderId="37" xfId="7" applyNumberFormat="1" applyFont="1" applyFill="1" applyBorder="1" applyAlignment="1" applyProtection="1">
      <alignment horizontal="left" vertical="center" wrapText="1"/>
    </xf>
    <xf numFmtId="168" fontId="30" fillId="0" borderId="37" xfId="3" applyNumberFormat="1" applyFont="1" applyFill="1" applyBorder="1" applyAlignment="1">
      <alignment vertical="center"/>
    </xf>
    <xf numFmtId="0" fontId="36" fillId="0" borderId="0" xfId="7" applyFont="1" applyFill="1" applyAlignment="1">
      <alignment vertical="center"/>
    </xf>
    <xf numFmtId="175" fontId="30" fillId="0" borderId="3" xfId="7" quotePrefix="1" applyNumberFormat="1" applyFont="1" applyFill="1" applyBorder="1" applyAlignment="1">
      <alignment horizontal="center" vertical="center"/>
    </xf>
    <xf numFmtId="175" fontId="30" fillId="0" borderId="3" xfId="7" applyNumberFormat="1" applyFont="1" applyFill="1" applyBorder="1" applyAlignment="1" applyProtection="1">
      <alignment horizontal="left" vertical="center"/>
    </xf>
    <xf numFmtId="168" fontId="30" fillId="0" borderId="3" xfId="3" applyNumberFormat="1" applyFont="1" applyFill="1" applyBorder="1" applyAlignment="1">
      <alignment vertical="center"/>
    </xf>
    <xf numFmtId="175" fontId="36" fillId="0" borderId="3" xfId="7" quotePrefix="1" applyNumberFormat="1" applyFont="1" applyFill="1" applyBorder="1" applyAlignment="1">
      <alignment horizontal="center" vertical="center"/>
    </xf>
    <xf numFmtId="167" fontId="30" fillId="3" borderId="3" xfId="11" applyNumberFormat="1" applyFont="1" applyFill="1" applyBorder="1" applyAlignment="1">
      <alignment horizontal="left" vertical="center" wrapText="1"/>
    </xf>
    <xf numFmtId="175" fontId="35" fillId="0" borderId="3" xfId="7" quotePrefix="1" applyNumberFormat="1" applyFont="1" applyFill="1" applyBorder="1" applyAlignment="1">
      <alignment horizontal="center" vertical="center"/>
    </xf>
    <xf numFmtId="0" fontId="34" fillId="3" borderId="3" xfId="0" applyFont="1" applyFill="1" applyBorder="1" applyAlignment="1">
      <alignment horizontal="left"/>
    </xf>
    <xf numFmtId="168" fontId="34" fillId="3" borderId="3" xfId="0" applyNumberFormat="1" applyFont="1" applyFill="1" applyBorder="1" applyAlignment="1">
      <alignment horizontal="center"/>
    </xf>
    <xf numFmtId="168" fontId="34" fillId="0" borderId="3" xfId="3" applyNumberFormat="1" applyFont="1" applyFill="1" applyBorder="1" applyAlignment="1">
      <alignment vertical="center"/>
    </xf>
    <xf numFmtId="0" fontId="35" fillId="0" borderId="0" xfId="7" applyFont="1" applyFill="1" applyAlignment="1">
      <alignment vertical="center"/>
    </xf>
    <xf numFmtId="175" fontId="34" fillId="0" borderId="3" xfId="7" quotePrefix="1" applyNumberFormat="1" applyFont="1" applyFill="1" applyBorder="1" applyAlignment="1">
      <alignment horizontal="center" vertical="center"/>
    </xf>
    <xf numFmtId="168" fontId="34" fillId="0" borderId="3" xfId="7" applyNumberFormat="1" applyFont="1" applyFill="1" applyBorder="1" applyAlignment="1">
      <alignment vertical="center"/>
    </xf>
    <xf numFmtId="0" fontId="30" fillId="0" borderId="3" xfId="7" applyFont="1" applyFill="1" applyBorder="1" applyAlignment="1">
      <alignment vertical="center"/>
    </xf>
    <xf numFmtId="168" fontId="30" fillId="0" borderId="3" xfId="7" applyNumberFormat="1" applyFont="1" applyFill="1" applyBorder="1" applyAlignment="1">
      <alignment vertical="center"/>
    </xf>
    <xf numFmtId="175" fontId="36" fillId="0" borderId="3" xfId="7" applyNumberFormat="1" applyFont="1" applyFill="1" applyBorder="1" applyAlignment="1" applyProtection="1">
      <alignment horizontal="left" vertical="center"/>
    </xf>
    <xf numFmtId="175" fontId="30" fillId="0" borderId="3" xfId="7" applyNumberFormat="1" applyFont="1" applyFill="1" applyBorder="1" applyAlignment="1">
      <alignment horizontal="center" vertical="center"/>
    </xf>
    <xf numFmtId="168" fontId="36" fillId="0" borderId="3" xfId="7" applyNumberFormat="1" applyFont="1" applyFill="1" applyBorder="1"/>
    <xf numFmtId="175" fontId="35" fillId="0" borderId="3" xfId="7" applyNumberFormat="1" applyFont="1" applyFill="1" applyBorder="1" applyAlignment="1">
      <alignment horizontal="center" vertical="center"/>
    </xf>
    <xf numFmtId="175" fontId="35" fillId="0" borderId="3" xfId="7" applyNumberFormat="1" applyFont="1" applyFill="1" applyBorder="1" applyAlignment="1" applyProtection="1">
      <alignment horizontal="left" vertical="center"/>
    </xf>
    <xf numFmtId="168" fontId="30" fillId="0" borderId="3" xfId="3" applyNumberFormat="1" applyFont="1" applyFill="1" applyBorder="1"/>
    <xf numFmtId="0" fontId="30" fillId="0" borderId="0" xfId="7" applyFont="1" applyFill="1" applyAlignment="1">
      <alignment vertical="center" wrapText="1"/>
    </xf>
    <xf numFmtId="175" fontId="30" fillId="0" borderId="39" xfId="7" applyNumberFormat="1" applyFont="1" applyFill="1" applyBorder="1" applyAlignment="1">
      <alignment horizontal="center" vertical="center"/>
    </xf>
    <xf numFmtId="175" fontId="30" fillId="0" borderId="39" xfId="7" applyNumberFormat="1" applyFont="1" applyFill="1" applyBorder="1" applyAlignment="1" applyProtection="1">
      <alignment horizontal="left" vertical="center"/>
    </xf>
    <xf numFmtId="168" fontId="30" fillId="0" borderId="39" xfId="3" applyNumberFormat="1" applyFont="1" applyFill="1" applyBorder="1"/>
    <xf numFmtId="168" fontId="30" fillId="0" borderId="39" xfId="3" applyNumberFormat="1" applyFont="1" applyFill="1" applyBorder="1" applyAlignment="1">
      <alignment vertical="center"/>
    </xf>
    <xf numFmtId="0" fontId="34" fillId="0" borderId="0" xfId="0" applyFont="1"/>
    <xf numFmtId="167" fontId="0" fillId="0" borderId="53" xfId="3" applyNumberFormat="1" applyFont="1" applyBorder="1"/>
    <xf numFmtId="0" fontId="28" fillId="0" borderId="22" xfId="0" applyFont="1" applyBorder="1" applyAlignment="1">
      <alignment horizontal="center" vertical="center"/>
    </xf>
    <xf numFmtId="0" fontId="28" fillId="0" borderId="22" xfId="0" applyFont="1" applyBorder="1" applyAlignment="1">
      <alignment horizontal="center" vertical="center" wrapText="1"/>
    </xf>
    <xf numFmtId="0" fontId="20" fillId="0" borderId="3" xfId="0" applyFont="1" applyBorder="1" applyAlignment="1">
      <alignment horizontal="center" vertical="center"/>
    </xf>
    <xf numFmtId="0" fontId="21" fillId="0" borderId="0" xfId="0" applyFont="1"/>
    <xf numFmtId="0" fontId="30" fillId="0" borderId="3" xfId="14" applyFont="1" applyFill="1" applyBorder="1" applyAlignment="1">
      <alignment horizontal="justify" vertical="center" wrapText="1"/>
    </xf>
    <xf numFmtId="3" fontId="34" fillId="0" borderId="3" xfId="17" applyNumberFormat="1" applyFont="1" applyFill="1" applyBorder="1" applyAlignment="1">
      <alignment horizontal="left" vertical="center" wrapText="1"/>
    </xf>
    <xf numFmtId="1" fontId="34" fillId="0" borderId="3" xfId="16" applyNumberFormat="1" applyFont="1" applyFill="1" applyBorder="1" applyAlignment="1">
      <alignment vertical="center" wrapText="1"/>
    </xf>
    <xf numFmtId="182" fontId="37" fillId="3" borderId="3" xfId="14" applyNumberFormat="1" applyFont="1" applyFill="1" applyBorder="1" applyAlignment="1">
      <alignment vertical="center"/>
    </xf>
    <xf numFmtId="181" fontId="37" fillId="3" borderId="3" xfId="14" applyNumberFormat="1" applyFont="1" applyFill="1" applyBorder="1" applyAlignment="1">
      <alignment vertical="center"/>
    </xf>
    <xf numFmtId="0" fontId="34" fillId="0" borderId="3" xfId="14" applyFont="1" applyFill="1" applyBorder="1" applyAlignment="1">
      <alignment horizontal="justify" vertical="center" wrapText="1"/>
    </xf>
    <xf numFmtId="0" fontId="8" fillId="0" borderId="22" xfId="0" applyFont="1" applyBorder="1" applyAlignment="1">
      <alignment horizontal="center" vertical="center" wrapText="1"/>
    </xf>
    <xf numFmtId="0" fontId="14" fillId="0" borderId="22" xfId="0" applyFont="1" applyBorder="1" applyAlignment="1">
      <alignment horizontal="center" vertical="center" wrapText="1"/>
    </xf>
    <xf numFmtId="166" fontId="14" fillId="0" borderId="22" xfId="0" applyNumberFormat="1" applyFont="1" applyBorder="1" applyAlignment="1">
      <alignment vertical="center" wrapText="1"/>
    </xf>
    <xf numFmtId="167" fontId="38" fillId="0" borderId="53" xfId="3" applyNumberFormat="1" applyFont="1" applyBorder="1"/>
    <xf numFmtId="0" fontId="28" fillId="2" borderId="3" xfId="0" applyFont="1" applyFill="1" applyBorder="1" applyAlignment="1">
      <alignment horizontal="center" vertical="center" wrapText="1"/>
    </xf>
    <xf numFmtId="0" fontId="28" fillId="2" borderId="3" xfId="0" applyFont="1" applyFill="1" applyBorder="1" applyAlignment="1">
      <alignment vertical="center" wrapText="1"/>
    </xf>
    <xf numFmtId="1" fontId="34" fillId="0" borderId="0" xfId="16" applyNumberFormat="1" applyFont="1" applyFill="1" applyAlignment="1">
      <alignment vertical="center" wrapText="1"/>
    </xf>
    <xf numFmtId="168" fontId="21" fillId="0" borderId="2" xfId="3" applyNumberFormat="1" applyFont="1" applyBorder="1" applyAlignment="1">
      <alignment horizontal="center" vertical="center" wrapText="1"/>
    </xf>
    <xf numFmtId="168" fontId="21" fillId="0" borderId="38" xfId="3" applyNumberFormat="1" applyFont="1" applyBorder="1" applyAlignment="1">
      <alignment horizontal="center" vertical="center" wrapText="1"/>
    </xf>
    <xf numFmtId="168" fontId="21" fillId="0" borderId="3" xfId="3" applyNumberFormat="1" applyFont="1" applyBorder="1" applyAlignment="1">
      <alignment horizontal="center" vertical="center" wrapText="1"/>
    </xf>
    <xf numFmtId="0" fontId="42" fillId="4" borderId="53" xfId="3" applyNumberFormat="1" applyFont="1" applyFill="1" applyBorder="1" applyAlignment="1">
      <alignment horizontal="left" vertical="center" wrapText="1"/>
    </xf>
    <xf numFmtId="167" fontId="20" fillId="4" borderId="0" xfId="0" applyNumberFormat="1" applyFont="1" applyFill="1"/>
    <xf numFmtId="0" fontId="21" fillId="0" borderId="0" xfId="0" applyFont="1"/>
    <xf numFmtId="167" fontId="20" fillId="0" borderId="2" xfId="3" applyNumberFormat="1" applyFont="1" applyFill="1" applyBorder="1" applyAlignment="1">
      <alignment horizontal="center" vertical="center" wrapText="1"/>
    </xf>
    <xf numFmtId="167" fontId="20" fillId="0" borderId="5" xfId="3" applyNumberFormat="1" applyFont="1" applyFill="1" applyBorder="1"/>
    <xf numFmtId="167" fontId="20" fillId="0" borderId="0" xfId="3" applyNumberFormat="1" applyFont="1" applyFill="1"/>
    <xf numFmtId="167" fontId="21" fillId="4" borderId="37" xfId="3" applyNumberFormat="1" applyFont="1" applyFill="1" applyBorder="1" applyAlignment="1">
      <alignment horizontal="center"/>
    </xf>
    <xf numFmtId="167" fontId="20" fillId="4" borderId="3" xfId="3" applyNumberFormat="1" applyFont="1" applyFill="1" applyBorder="1" applyAlignment="1">
      <alignment horizontal="center"/>
    </xf>
    <xf numFmtId="0" fontId="42" fillId="4" borderId="4" xfId="3" applyNumberFormat="1" applyFont="1" applyFill="1" applyBorder="1" applyAlignment="1">
      <alignment horizontal="left" vertical="center" wrapText="1"/>
    </xf>
    <xf numFmtId="0" fontId="20" fillId="0" borderId="3" xfId="0" applyFont="1" applyFill="1" applyBorder="1" applyAlignment="1">
      <alignment vertical="center"/>
    </xf>
    <xf numFmtId="168" fontId="12" fillId="0" borderId="0" xfId="0" applyNumberFormat="1" applyFont="1"/>
    <xf numFmtId="179" fontId="20" fillId="0" borderId="0" xfId="0" applyNumberFormat="1" applyFont="1" applyFill="1"/>
    <xf numFmtId="168" fontId="20" fillId="0" borderId="0" xfId="3" applyNumberFormat="1" applyFont="1"/>
    <xf numFmtId="168" fontId="21" fillId="0" borderId="1" xfId="3" applyNumberFormat="1" applyFont="1" applyBorder="1" applyAlignment="1">
      <alignment horizontal="center" vertical="center" wrapText="1"/>
    </xf>
    <xf numFmtId="168" fontId="21" fillId="0" borderId="41" xfId="3" applyNumberFormat="1" applyFont="1" applyBorder="1" applyAlignment="1">
      <alignment horizontal="center" vertical="center" wrapText="1"/>
    </xf>
    <xf numFmtId="168" fontId="26" fillId="0" borderId="0" xfId="3" applyNumberFormat="1" applyFont="1" applyAlignment="1">
      <alignment vertical="center" wrapText="1"/>
    </xf>
    <xf numFmtId="247" fontId="20" fillId="0" borderId="0" xfId="0" applyNumberFormat="1" applyFont="1"/>
    <xf numFmtId="168" fontId="12" fillId="4" borderId="0" xfId="3" applyNumberFormat="1" applyFont="1" applyFill="1"/>
    <xf numFmtId="168" fontId="20" fillId="0" borderId="0" xfId="3" applyNumberFormat="1" applyFont="1" applyFill="1" applyBorder="1" applyAlignment="1">
      <alignment horizontal="right" vertical="center" wrapText="1"/>
    </xf>
    <xf numFmtId="168" fontId="25" fillId="0" borderId="0" xfId="3" applyNumberFormat="1" applyFont="1" applyFill="1" applyBorder="1" applyAlignment="1">
      <alignment horizontal="right" vertical="center"/>
    </xf>
    <xf numFmtId="168" fontId="20" fillId="0" borderId="5" xfId="3" applyNumberFormat="1" applyFont="1" applyFill="1" applyBorder="1" applyAlignment="1">
      <alignment horizontal="center" vertical="center" wrapText="1"/>
    </xf>
    <xf numFmtId="168" fontId="20" fillId="0" borderId="0" xfId="3" applyNumberFormat="1" applyFont="1" applyFill="1"/>
    <xf numFmtId="170" fontId="20" fillId="0" borderId="0" xfId="0" applyNumberFormat="1" applyFont="1" applyFill="1"/>
    <xf numFmtId="167" fontId="20" fillId="0" borderId="41" xfId="3" applyNumberFormat="1" applyFont="1" applyFill="1" applyBorder="1" applyAlignment="1">
      <alignment vertical="center" wrapText="1"/>
    </xf>
    <xf numFmtId="167" fontId="14" fillId="0" borderId="94" xfId="19" applyNumberFormat="1" applyFont="1" applyFill="1" applyBorder="1" applyAlignment="1">
      <alignment horizontal="center" vertical="center" wrapText="1"/>
    </xf>
    <xf numFmtId="167" fontId="8" fillId="0" borderId="94" xfId="19" applyNumberFormat="1" applyFont="1" applyFill="1" applyBorder="1" applyAlignment="1">
      <alignment horizontal="center" vertical="center" wrapText="1"/>
    </xf>
    <xf numFmtId="43" fontId="8" fillId="0" borderId="94" xfId="19" applyFont="1" applyFill="1" applyBorder="1" applyAlignment="1">
      <alignment horizontal="center" vertical="center" wrapText="1"/>
    </xf>
    <xf numFmtId="166" fontId="8" fillId="0" borderId="94" xfId="19" applyNumberFormat="1" applyFont="1" applyFill="1" applyBorder="1" applyAlignment="1">
      <alignment horizontal="center" vertical="center" wrapText="1"/>
    </xf>
    <xf numFmtId="167" fontId="8" fillId="0" borderId="0" xfId="19" applyNumberFormat="1" applyFont="1" applyFill="1"/>
    <xf numFmtId="247" fontId="20" fillId="0" borderId="0" xfId="0" applyNumberFormat="1" applyFont="1" applyFill="1"/>
    <xf numFmtId="0" fontId="39" fillId="0" borderId="0" xfId="0" applyFont="1" applyFill="1" applyAlignment="1">
      <alignment horizontal="center" vertical="center"/>
    </xf>
    <xf numFmtId="0" fontId="25" fillId="0" borderId="0" xfId="0" applyFont="1" applyAlignment="1">
      <alignment vertical="center"/>
    </xf>
    <xf numFmtId="0" fontId="21" fillId="0" borderId="22" xfId="0" applyFont="1" applyFill="1" applyBorder="1" applyAlignment="1">
      <alignment horizontal="center" vertical="center" wrapText="1"/>
    </xf>
    <xf numFmtId="0" fontId="21" fillId="0" borderId="0" xfId="0" applyFont="1" applyFill="1" applyAlignment="1">
      <alignment horizontal="center" vertical="center"/>
    </xf>
    <xf numFmtId="0" fontId="21" fillId="0" borderId="30" xfId="0" applyFont="1" applyFill="1" applyBorder="1" applyAlignment="1">
      <alignment horizontal="center" vertical="center" wrapText="1"/>
    </xf>
    <xf numFmtId="178" fontId="20" fillId="0" borderId="0" xfId="0" applyNumberFormat="1" applyFont="1" applyFill="1"/>
    <xf numFmtId="0" fontId="20" fillId="0" borderId="54" xfId="0" applyFont="1" applyFill="1" applyBorder="1"/>
    <xf numFmtId="0" fontId="20" fillId="0" borderId="0" xfId="0" applyFont="1" applyFill="1" applyBorder="1"/>
    <xf numFmtId="171" fontId="20" fillId="0" borderId="0" xfId="0" applyNumberFormat="1" applyFont="1" applyFill="1"/>
    <xf numFmtId="43" fontId="20" fillId="0" borderId="0" xfId="3" applyFont="1" applyFill="1"/>
    <xf numFmtId="0" fontId="20" fillId="0" borderId="22" xfId="0" applyFont="1" applyFill="1" applyBorder="1" applyAlignment="1">
      <alignment horizontal="center" vertical="center" wrapText="1"/>
    </xf>
    <xf numFmtId="43" fontId="21" fillId="0" borderId="30" xfId="0" applyNumberFormat="1" applyFont="1" applyFill="1" applyBorder="1" applyAlignment="1">
      <alignment horizontal="center" vertical="center" wrapText="1"/>
    </xf>
    <xf numFmtId="0" fontId="21" fillId="0" borderId="22" xfId="0" applyFont="1" applyFill="1" applyBorder="1" applyAlignment="1">
      <alignment vertical="center" wrapText="1"/>
    </xf>
    <xf numFmtId="179" fontId="21" fillId="0" borderId="22" xfId="3" applyNumberFormat="1"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8" xfId="0" applyFont="1" applyFill="1" applyBorder="1" applyAlignment="1">
      <alignment vertical="center" wrapText="1"/>
    </xf>
    <xf numFmtId="179" fontId="21" fillId="0" borderId="38" xfId="3" applyNumberFormat="1" applyFont="1" applyFill="1" applyBorder="1" applyAlignment="1">
      <alignment horizontal="center" vertical="center" wrapText="1"/>
    </xf>
    <xf numFmtId="179" fontId="21" fillId="0" borderId="3" xfId="3" applyNumberFormat="1" applyFont="1" applyFill="1" applyBorder="1" applyAlignment="1">
      <alignment horizontal="center" vertical="center" wrapText="1"/>
    </xf>
    <xf numFmtId="179" fontId="21" fillId="0" borderId="0" xfId="3" applyNumberFormat="1" applyFont="1" applyFill="1"/>
    <xf numFmtId="0" fontId="20" fillId="0" borderId="3" xfId="0" quotePrefix="1" applyFont="1" applyFill="1" applyBorder="1" applyAlignment="1">
      <alignment horizontal="left" vertical="center" wrapText="1"/>
    </xf>
    <xf numFmtId="0" fontId="21" fillId="0" borderId="39" xfId="0" applyFont="1" applyFill="1" applyBorder="1" applyAlignment="1">
      <alignment horizontal="center" vertical="center" wrapText="1"/>
    </xf>
    <xf numFmtId="0" fontId="21" fillId="0" borderId="39" xfId="0" applyFont="1" applyFill="1" applyBorder="1" applyAlignment="1">
      <alignment vertical="center" wrapText="1"/>
    </xf>
    <xf numFmtId="43" fontId="34" fillId="0" borderId="0" xfId="3" applyFont="1" applyFill="1"/>
    <xf numFmtId="0" fontId="34" fillId="0" borderId="0" xfId="0" applyFont="1" applyFill="1"/>
    <xf numFmtId="178" fontId="34" fillId="0" borderId="0" xfId="0" applyNumberFormat="1" applyFont="1" applyFill="1"/>
    <xf numFmtId="165" fontId="34" fillId="0" borderId="0" xfId="0" applyNumberFormat="1" applyFont="1" applyFill="1"/>
    <xf numFmtId="167" fontId="34" fillId="0" borderId="0" xfId="0" applyNumberFormat="1" applyFont="1" applyFill="1"/>
    <xf numFmtId="0" fontId="30" fillId="0" borderId="0" xfId="0" applyFont="1" applyFill="1"/>
    <xf numFmtId="247" fontId="21" fillId="0" borderId="0" xfId="0" applyNumberFormat="1" applyFont="1" applyFill="1"/>
    <xf numFmtId="0" fontId="21" fillId="0" borderId="40" xfId="0" applyFont="1" applyFill="1" applyBorder="1" applyAlignment="1">
      <alignment horizontal="center" vertical="center" wrapText="1"/>
    </xf>
    <xf numFmtId="0" fontId="21" fillId="0" borderId="40" xfId="0" applyFont="1" applyFill="1" applyBorder="1" applyAlignment="1">
      <alignment vertical="center" wrapText="1"/>
    </xf>
    <xf numFmtId="167" fontId="21" fillId="0" borderId="40" xfId="3" applyNumberFormat="1" applyFont="1" applyFill="1" applyBorder="1" applyAlignment="1">
      <alignment horizontal="center" vertical="center" wrapText="1"/>
    </xf>
    <xf numFmtId="0" fontId="20" fillId="0" borderId="0" xfId="0" applyFont="1" applyFill="1" applyAlignment="1">
      <alignment horizontal="center" vertical="center"/>
    </xf>
    <xf numFmtId="167" fontId="39" fillId="0" borderId="0" xfId="0" applyNumberFormat="1" applyFont="1" applyFill="1" applyAlignment="1">
      <alignment horizontal="center" vertical="center"/>
    </xf>
    <xf numFmtId="0" fontId="20" fillId="0" borderId="2" xfId="0" applyFont="1" applyFill="1" applyBorder="1" applyAlignment="1">
      <alignment horizontal="center" vertical="center" wrapText="1"/>
    </xf>
    <xf numFmtId="3" fontId="20" fillId="0" borderId="0" xfId="0" applyNumberFormat="1" applyFont="1" applyFill="1"/>
    <xf numFmtId="167" fontId="8" fillId="0" borderId="0" xfId="19" applyNumberFormat="1" applyFont="1" applyFill="1" applyAlignment="1"/>
    <xf numFmtId="167" fontId="8" fillId="0" borderId="0" xfId="19" applyNumberFormat="1" applyFont="1" applyFill="1" applyAlignment="1">
      <alignment horizontal="center" vertical="center"/>
    </xf>
    <xf numFmtId="167" fontId="8" fillId="0" borderId="0" xfId="19" applyNumberFormat="1" applyFont="1" applyFill="1" applyAlignment="1">
      <alignment horizontal="center"/>
    </xf>
    <xf numFmtId="167" fontId="8" fillId="0" borderId="90" xfId="19" applyNumberFormat="1" applyFont="1" applyFill="1" applyBorder="1" applyAlignment="1">
      <alignment horizontal="center" vertical="center" wrapText="1"/>
    </xf>
    <xf numFmtId="0" fontId="8" fillId="0" borderId="90" xfId="19" applyNumberFormat="1" applyFont="1" applyFill="1" applyBorder="1" applyAlignment="1">
      <alignment horizontal="center" vertical="center" wrapText="1"/>
    </xf>
    <xf numFmtId="167" fontId="14" fillId="0" borderId="37" xfId="19" applyNumberFormat="1" applyFont="1" applyFill="1" applyBorder="1" applyAlignment="1">
      <alignment horizontal="center" vertical="center" wrapText="1"/>
    </xf>
    <xf numFmtId="43" fontId="14" fillId="0" borderId="37" xfId="19" applyFont="1" applyFill="1" applyBorder="1" applyAlignment="1">
      <alignment horizontal="center" vertical="center" wrapText="1"/>
    </xf>
    <xf numFmtId="166" fontId="14" fillId="0" borderId="37" xfId="19" applyNumberFormat="1" applyFont="1" applyFill="1" applyBorder="1" applyAlignment="1">
      <alignment horizontal="center" vertical="center" wrapText="1"/>
    </xf>
    <xf numFmtId="167" fontId="14" fillId="0" borderId="0" xfId="19" applyNumberFormat="1" applyFont="1" applyFill="1"/>
    <xf numFmtId="43" fontId="14" fillId="0" borderId="94" xfId="19" applyFont="1" applyFill="1" applyBorder="1" applyAlignment="1">
      <alignment horizontal="center" vertical="center" wrapText="1"/>
    </xf>
    <xf numFmtId="166" fontId="14" fillId="0" borderId="94" xfId="19" applyNumberFormat="1" applyFont="1" applyFill="1" applyBorder="1" applyAlignment="1">
      <alignment horizontal="center" vertical="center" wrapText="1"/>
    </xf>
    <xf numFmtId="43" fontId="7" fillId="0" borderId="94" xfId="12" applyFont="1" applyFill="1" applyBorder="1" applyAlignment="1">
      <alignment horizontal="center" vertical="center" wrapText="1"/>
    </xf>
    <xf numFmtId="167" fontId="8" fillId="0" borderId="94" xfId="12" applyNumberFormat="1" applyFont="1" applyFill="1" applyBorder="1" applyAlignment="1">
      <alignment horizontal="center" vertical="center" wrapText="1"/>
    </xf>
    <xf numFmtId="167" fontId="14" fillId="0" borderId="0" xfId="19" applyNumberFormat="1" applyFont="1" applyFill="1" applyAlignment="1">
      <alignment vertical="center"/>
    </xf>
    <xf numFmtId="167" fontId="14" fillId="0" borderId="39" xfId="19" applyNumberFormat="1" applyFont="1" applyFill="1" applyBorder="1" applyAlignment="1">
      <alignment horizontal="center" vertical="center" wrapText="1"/>
    </xf>
    <xf numFmtId="166" fontId="14" fillId="0" borderId="39" xfId="19" applyNumberFormat="1" applyFont="1" applyFill="1" applyBorder="1" applyAlignment="1">
      <alignment horizontal="center" vertical="center" wrapText="1"/>
    </xf>
    <xf numFmtId="167" fontId="19" fillId="0" borderId="0" xfId="19" applyNumberFormat="1" applyFont="1" applyFill="1" applyAlignment="1">
      <alignment horizontal="center" vertical="center"/>
    </xf>
    <xf numFmtId="43" fontId="8" fillId="0" borderId="0" xfId="19" applyFont="1" applyFill="1" applyAlignment="1">
      <alignment horizontal="center"/>
    </xf>
    <xf numFmtId="166" fontId="8" fillId="0" borderId="0" xfId="19" applyNumberFormat="1" applyFont="1" applyFill="1" applyAlignment="1">
      <alignment horizontal="center"/>
    </xf>
    <xf numFmtId="168" fontId="8" fillId="0" borderId="0" xfId="3" applyNumberFormat="1" applyFont="1" applyFill="1" applyAlignment="1">
      <alignment horizontal="center"/>
    </xf>
    <xf numFmtId="167" fontId="14" fillId="0" borderId="0" xfId="19" applyNumberFormat="1" applyFont="1" applyFill="1" applyAlignment="1">
      <alignment horizontal="center"/>
    </xf>
    <xf numFmtId="167" fontId="8" fillId="0" borderId="94" xfId="19" applyNumberFormat="1" applyFont="1" applyFill="1" applyBorder="1" applyAlignment="1">
      <alignment horizontal="center"/>
    </xf>
    <xf numFmtId="43" fontId="9" fillId="0" borderId="94" xfId="19" applyFont="1" applyFill="1" applyBorder="1" applyAlignment="1">
      <alignment horizontal="center"/>
    </xf>
    <xf numFmtId="167" fontId="14" fillId="0" borderId="0" xfId="19" applyNumberFormat="1" applyFont="1" applyFill="1" applyAlignment="1">
      <alignment horizontal="center" vertical="center"/>
    </xf>
    <xf numFmtId="0" fontId="14" fillId="0" borderId="39" xfId="19" applyNumberFormat="1" applyFont="1" applyFill="1" applyBorder="1" applyAlignment="1">
      <alignment horizontal="center" vertical="center" wrapText="1"/>
    </xf>
    <xf numFmtId="312" fontId="14" fillId="0" borderId="37" xfId="19" applyNumberFormat="1" applyFont="1" applyFill="1" applyBorder="1" applyAlignment="1">
      <alignment horizontal="center" vertical="center" wrapText="1"/>
    </xf>
    <xf numFmtId="312" fontId="14" fillId="0" borderId="37" xfId="3" applyNumberFormat="1" applyFont="1" applyFill="1" applyBorder="1" applyAlignment="1">
      <alignment horizontal="center" vertical="center" wrapText="1"/>
    </xf>
    <xf numFmtId="312" fontId="8" fillId="0" borderId="94" xfId="19" applyNumberFormat="1" applyFont="1" applyFill="1" applyBorder="1" applyAlignment="1">
      <alignment horizontal="center" vertical="center" wrapText="1"/>
    </xf>
    <xf numFmtId="312" fontId="8" fillId="0" borderId="94" xfId="3" applyNumberFormat="1" applyFont="1" applyFill="1" applyBorder="1" applyAlignment="1">
      <alignment horizontal="center" vertical="center" wrapText="1"/>
    </xf>
    <xf numFmtId="312" fontId="14" fillId="0" borderId="94" xfId="19" applyNumberFormat="1" applyFont="1" applyFill="1" applyBorder="1" applyAlignment="1">
      <alignment horizontal="center" vertical="center" wrapText="1"/>
    </xf>
    <xf numFmtId="312" fontId="14" fillId="0" borderId="94" xfId="3" applyNumberFormat="1" applyFont="1" applyFill="1" applyBorder="1" applyAlignment="1">
      <alignment horizontal="center" vertical="center" wrapText="1"/>
    </xf>
    <xf numFmtId="312" fontId="8" fillId="0" borderId="94" xfId="19" applyNumberFormat="1" applyFont="1" applyFill="1" applyBorder="1" applyAlignment="1">
      <alignment horizontal="center"/>
    </xf>
    <xf numFmtId="312" fontId="8" fillId="0" borderId="94" xfId="3" applyNumberFormat="1" applyFont="1" applyFill="1" applyBorder="1" applyAlignment="1">
      <alignment horizontal="center"/>
    </xf>
    <xf numFmtId="312" fontId="14" fillId="0" borderId="39" xfId="19" applyNumberFormat="1" applyFont="1" applyFill="1" applyBorder="1" applyAlignment="1">
      <alignment horizontal="center" vertical="center" wrapText="1"/>
    </xf>
    <xf numFmtId="312" fontId="14" fillId="0" borderId="39" xfId="3" applyNumberFormat="1" applyFont="1" applyFill="1" applyBorder="1" applyAlignment="1">
      <alignment horizontal="center" vertical="center" wrapText="1"/>
    </xf>
    <xf numFmtId="167" fontId="8" fillId="0" borderId="94" xfId="19" applyNumberFormat="1" applyFont="1" applyFill="1" applyBorder="1" applyAlignment="1">
      <alignment horizontal="left" vertical="center" wrapText="1"/>
    </xf>
    <xf numFmtId="167" fontId="14" fillId="0" borderId="94" xfId="19" applyNumberFormat="1" applyFont="1" applyFill="1" applyBorder="1" applyAlignment="1">
      <alignment horizontal="left" vertical="center" wrapText="1"/>
    </xf>
    <xf numFmtId="167" fontId="14" fillId="0" borderId="39" xfId="19" applyNumberFormat="1" applyFont="1" applyFill="1" applyBorder="1" applyAlignment="1">
      <alignment horizontal="left" vertical="center" wrapText="1"/>
    </xf>
    <xf numFmtId="1" fontId="14" fillId="0" borderId="37" xfId="19" applyNumberFormat="1" applyFont="1" applyFill="1" applyBorder="1" applyAlignment="1">
      <alignment horizontal="center" vertical="center" wrapText="1"/>
    </xf>
    <xf numFmtId="1" fontId="8" fillId="0" borderId="94" xfId="19" applyNumberFormat="1" applyFont="1" applyFill="1" applyBorder="1" applyAlignment="1">
      <alignment horizontal="center" vertical="center" wrapText="1"/>
    </xf>
    <xf numFmtId="1" fontId="14" fillId="0" borderId="94" xfId="19" applyNumberFormat="1" applyFont="1" applyFill="1" applyBorder="1" applyAlignment="1">
      <alignment horizontal="center" vertical="center" wrapText="1"/>
    </xf>
    <xf numFmtId="1" fontId="14" fillId="0" borderId="39" xfId="19" applyNumberFormat="1" applyFont="1" applyFill="1" applyBorder="1" applyAlignment="1">
      <alignment horizontal="center" vertical="center" wrapText="1"/>
    </xf>
    <xf numFmtId="167" fontId="238" fillId="0" borderId="0" xfId="19" applyNumberFormat="1" applyFont="1" applyFill="1" applyAlignment="1">
      <alignment vertical="center"/>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67" fontId="21" fillId="0" borderId="40" xfId="3" applyNumberFormat="1" applyFont="1" applyFill="1" applyBorder="1" applyAlignment="1">
      <alignment vertical="center" wrapText="1"/>
    </xf>
    <xf numFmtId="167" fontId="20" fillId="0" borderId="40" xfId="3" applyNumberFormat="1" applyFont="1" applyFill="1" applyBorder="1" applyAlignment="1">
      <alignment vertical="center" wrapText="1"/>
    </xf>
    <xf numFmtId="0" fontId="21" fillId="0" borderId="41" xfId="0" applyFont="1" applyFill="1" applyBorder="1" applyAlignment="1">
      <alignment horizontal="center" vertical="center" wrapText="1"/>
    </xf>
    <xf numFmtId="0" fontId="21" fillId="0" borderId="41" xfId="0" applyFont="1" applyFill="1" applyBorder="1" applyAlignment="1">
      <alignment vertical="center" wrapText="1"/>
    </xf>
    <xf numFmtId="167" fontId="21" fillId="0" borderId="41" xfId="3" applyNumberFormat="1" applyFont="1" applyFill="1" applyBorder="1" applyAlignment="1">
      <alignment vertical="center" wrapText="1"/>
    </xf>
    <xf numFmtId="0" fontId="20" fillId="0" borderId="41" xfId="0" applyFont="1" applyFill="1" applyBorder="1" applyAlignment="1">
      <alignment horizontal="center" vertical="center" wrapText="1"/>
    </xf>
    <xf numFmtId="0" fontId="20" fillId="0" borderId="41" xfId="0" applyFont="1" applyFill="1" applyBorder="1" applyAlignment="1">
      <alignment vertical="center" wrapText="1"/>
    </xf>
    <xf numFmtId="169" fontId="20" fillId="0" borderId="41" xfId="3" applyNumberFormat="1" applyFont="1" applyFill="1" applyBorder="1" applyAlignment="1">
      <alignment horizontal="center" vertical="center" wrapText="1"/>
    </xf>
    <xf numFmtId="167" fontId="20" fillId="0" borderId="41" xfId="3" applyNumberFormat="1" applyFont="1" applyFill="1" applyBorder="1" applyAlignment="1">
      <alignment horizontal="center" vertical="center" wrapText="1"/>
    </xf>
    <xf numFmtId="43" fontId="21" fillId="0" borderId="41" xfId="3" applyFont="1" applyFill="1" applyBorder="1"/>
    <xf numFmtId="0" fontId="20" fillId="0" borderId="41" xfId="0" quotePrefix="1"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2" xfId="0" applyFont="1" applyFill="1" applyBorder="1" applyAlignment="1">
      <alignment vertical="center" wrapText="1"/>
    </xf>
    <xf numFmtId="167" fontId="20" fillId="0" borderId="42" xfId="3" applyNumberFormat="1" applyFont="1" applyFill="1" applyBorder="1" applyAlignment="1">
      <alignment vertical="center" wrapText="1"/>
    </xf>
    <xf numFmtId="172" fontId="20" fillId="0" borderId="42" xfId="10" applyNumberFormat="1" applyFont="1" applyFill="1" applyBorder="1" applyAlignment="1">
      <alignment vertical="center" wrapText="1"/>
    </xf>
    <xf numFmtId="168" fontId="29" fillId="0" borderId="0" xfId="3" applyNumberFormat="1" applyFont="1" applyFill="1" applyAlignment="1">
      <alignment vertical="center" wrapText="1"/>
    </xf>
    <xf numFmtId="168" fontId="25" fillId="0" borderId="0" xfId="3" applyNumberFormat="1" applyFont="1" applyFill="1" applyAlignment="1">
      <alignment vertical="center"/>
    </xf>
    <xf numFmtId="168" fontId="21" fillId="0" borderId="40" xfId="3" applyNumberFormat="1" applyFont="1" applyFill="1" applyBorder="1" applyAlignment="1">
      <alignment vertical="center" wrapText="1"/>
    </xf>
    <xf numFmtId="168" fontId="20" fillId="0" borderId="42" xfId="3" applyNumberFormat="1" applyFont="1" applyFill="1" applyBorder="1" applyAlignment="1">
      <alignment vertical="center" wrapText="1"/>
    </xf>
    <xf numFmtId="312" fontId="21" fillId="0" borderId="41" xfId="3" applyNumberFormat="1" applyFont="1" applyFill="1" applyBorder="1" applyAlignment="1">
      <alignment horizontal="center" vertical="center" wrapText="1"/>
    </xf>
    <xf numFmtId="312" fontId="21" fillId="0" borderId="41" xfId="10" applyNumberFormat="1" applyFont="1" applyFill="1" applyBorder="1" applyAlignment="1">
      <alignment horizontal="center" vertical="center" wrapText="1"/>
    </xf>
    <xf numFmtId="312" fontId="20" fillId="0" borderId="41" xfId="3" applyNumberFormat="1" applyFont="1" applyFill="1" applyBorder="1" applyAlignment="1">
      <alignment horizontal="center" vertical="center" wrapText="1"/>
    </xf>
    <xf numFmtId="312" fontId="20" fillId="0" borderId="41" xfId="10" applyNumberFormat="1" applyFont="1" applyFill="1" applyBorder="1" applyAlignment="1">
      <alignment horizontal="center" vertical="center" wrapText="1"/>
    </xf>
    <xf numFmtId="312" fontId="20" fillId="0" borderId="41" xfId="3" applyNumberFormat="1" applyFont="1" applyFill="1" applyBorder="1" applyAlignment="1">
      <alignment horizontal="center"/>
    </xf>
    <xf numFmtId="0" fontId="25" fillId="0" borderId="0" xfId="0" applyFont="1" applyBorder="1" applyAlignment="1"/>
    <xf numFmtId="0" fontId="39" fillId="2" borderId="2"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37" fontId="21" fillId="0" borderId="40" xfId="3" applyNumberFormat="1" applyFont="1" applyFill="1" applyBorder="1" applyAlignment="1">
      <alignment horizontal="center" vertical="center" wrapText="1"/>
    </xf>
    <xf numFmtId="37" fontId="21" fillId="0" borderId="40" xfId="10" applyNumberFormat="1" applyFont="1" applyFill="1" applyBorder="1" applyAlignment="1">
      <alignment horizontal="center" vertical="center" wrapText="1"/>
    </xf>
    <xf numFmtId="37" fontId="20" fillId="2" borderId="41" xfId="3" applyNumberFormat="1" applyFont="1" applyFill="1" applyBorder="1" applyAlignment="1">
      <alignment horizontal="center" vertical="center" wrapText="1"/>
    </xf>
    <xf numFmtId="37" fontId="20" fillId="2" borderId="41" xfId="10" applyNumberFormat="1" applyFont="1" applyFill="1" applyBorder="1" applyAlignment="1">
      <alignment horizontal="center" vertical="center" wrapText="1"/>
    </xf>
    <xf numFmtId="37" fontId="20" fillId="2" borderId="42" xfId="3" applyNumberFormat="1" applyFont="1" applyFill="1" applyBorder="1" applyAlignment="1">
      <alignment horizontal="center" vertical="center" wrapText="1"/>
    </xf>
    <xf numFmtId="37" fontId="20" fillId="2" borderId="42" xfId="1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69" fontId="20" fillId="0" borderId="41" xfId="3" applyNumberFormat="1" applyFont="1" applyFill="1" applyBorder="1" applyAlignment="1">
      <alignment vertical="center"/>
    </xf>
    <xf numFmtId="169" fontId="20" fillId="0" borderId="46" xfId="3" applyNumberFormat="1" applyFont="1" applyFill="1" applyBorder="1" applyAlignment="1">
      <alignment vertical="center"/>
    </xf>
    <xf numFmtId="0" fontId="20" fillId="0" borderId="41" xfId="1" applyFont="1" applyFill="1" applyBorder="1" applyAlignment="1">
      <alignment vertical="center"/>
    </xf>
    <xf numFmtId="168" fontId="20" fillId="0" borderId="2" xfId="3" applyNumberFormat="1" applyFont="1" applyFill="1" applyBorder="1" applyAlignment="1">
      <alignment horizontal="center" vertical="center" wrapText="1"/>
    </xf>
    <xf numFmtId="168" fontId="20" fillId="0" borderId="5" xfId="3" applyNumberFormat="1" applyFont="1" applyFill="1" applyBorder="1"/>
    <xf numFmtId="312" fontId="21" fillId="0" borderId="37" xfId="3" applyNumberFormat="1" applyFont="1" applyFill="1" applyBorder="1" applyAlignment="1">
      <alignment horizontal="center" vertical="center" wrapText="1"/>
    </xf>
    <xf numFmtId="312" fontId="21" fillId="0" borderId="0" xfId="0" applyNumberFormat="1" applyFont="1" applyFill="1"/>
    <xf numFmtId="312" fontId="21" fillId="0" borderId="3" xfId="3" applyNumberFormat="1" applyFont="1" applyFill="1" applyBorder="1" applyAlignment="1">
      <alignment horizontal="center" vertical="center" wrapText="1"/>
    </xf>
    <xf numFmtId="312" fontId="20" fillId="0" borderId="3" xfId="3" applyNumberFormat="1" applyFont="1" applyFill="1" applyBorder="1"/>
    <xf numFmtId="312" fontId="20" fillId="0" borderId="0" xfId="0" applyNumberFormat="1" applyFont="1" applyFill="1"/>
    <xf numFmtId="312" fontId="20" fillId="0" borderId="3" xfId="3" applyNumberFormat="1" applyFont="1" applyFill="1" applyBorder="1" applyAlignment="1">
      <alignment horizontal="center" vertical="center" wrapText="1"/>
    </xf>
    <xf numFmtId="312" fontId="21" fillId="0" borderId="3" xfId="3" applyNumberFormat="1" applyFont="1" applyFill="1" applyBorder="1" applyAlignment="1">
      <alignment vertical="center"/>
    </xf>
    <xf numFmtId="312" fontId="21" fillId="0" borderId="0" xfId="3" applyNumberFormat="1" applyFont="1" applyFill="1" applyAlignment="1">
      <alignment vertical="center"/>
    </xf>
    <xf numFmtId="312" fontId="21" fillId="0" borderId="0" xfId="0" applyNumberFormat="1" applyFont="1" applyFill="1" applyAlignment="1">
      <alignment vertical="center"/>
    </xf>
    <xf numFmtId="312" fontId="21" fillId="0" borderId="3" xfId="3" applyNumberFormat="1" applyFont="1" applyFill="1" applyBorder="1"/>
    <xf numFmtId="312" fontId="20" fillId="0" borderId="0" xfId="3" applyNumberFormat="1" applyFont="1" applyFill="1"/>
    <xf numFmtId="312" fontId="21" fillId="0" borderId="0" xfId="3" applyNumberFormat="1" applyFont="1" applyFill="1"/>
    <xf numFmtId="312" fontId="21" fillId="0" borderId="3" xfId="3" applyNumberFormat="1" applyFont="1" applyFill="1" applyBorder="1" applyAlignment="1">
      <alignment horizontal="right" vertical="center" wrapText="1"/>
    </xf>
    <xf numFmtId="312" fontId="21" fillId="0" borderId="3" xfId="3" applyNumberFormat="1" applyFont="1" applyFill="1" applyBorder="1" applyAlignment="1">
      <alignment horizontal="right"/>
    </xf>
    <xf numFmtId="312" fontId="20" fillId="0" borderId="3" xfId="3" applyNumberFormat="1" applyFont="1" applyFill="1" applyBorder="1" applyAlignment="1">
      <alignment vertical="center"/>
    </xf>
    <xf numFmtId="312" fontId="20" fillId="0" borderId="0" xfId="0" applyNumberFormat="1" applyFont="1" applyFill="1" applyAlignment="1">
      <alignment vertical="center"/>
    </xf>
    <xf numFmtId="312" fontId="21" fillId="0" borderId="47" xfId="3" applyNumberFormat="1" applyFont="1" applyFill="1" applyBorder="1" applyAlignment="1">
      <alignment horizontal="center" vertical="center" wrapText="1"/>
    </xf>
    <xf numFmtId="0" fontId="20" fillId="0" borderId="4" xfId="0" applyFont="1" applyFill="1" applyBorder="1" applyAlignment="1">
      <alignment horizontal="center" vertical="center"/>
    </xf>
    <xf numFmtId="168" fontId="20" fillId="0" borderId="0" xfId="0" applyNumberFormat="1" applyFont="1" applyFill="1" applyAlignment="1">
      <alignment horizontal="center" vertical="center"/>
    </xf>
    <xf numFmtId="312" fontId="21" fillId="0" borderId="40" xfId="3" applyNumberFormat="1" applyFont="1" applyBorder="1" applyAlignment="1">
      <alignment horizontal="center" vertical="center" wrapText="1"/>
    </xf>
    <xf numFmtId="312" fontId="21" fillId="0" borderId="41" xfId="3" applyNumberFormat="1" applyFont="1" applyBorder="1" applyAlignment="1">
      <alignment horizontal="center" vertical="center" wrapText="1"/>
    </xf>
    <xf numFmtId="312" fontId="20" fillId="0" borderId="41" xfId="3" applyNumberFormat="1" applyFont="1" applyBorder="1" applyAlignment="1">
      <alignment horizontal="center" vertical="center" wrapText="1"/>
    </xf>
    <xf numFmtId="312" fontId="20" fillId="0" borderId="41" xfId="3" applyNumberFormat="1" applyFont="1" applyBorder="1"/>
    <xf numFmtId="312" fontId="20" fillId="2" borderId="41" xfId="3" applyNumberFormat="1" applyFont="1" applyFill="1" applyBorder="1" applyAlignment="1">
      <alignment horizontal="center" vertical="center" wrapText="1"/>
    </xf>
    <xf numFmtId="312" fontId="21" fillId="0" borderId="42" xfId="3" applyNumberFormat="1" applyFont="1" applyBorder="1" applyAlignment="1">
      <alignment horizontal="center" vertical="center" wrapText="1"/>
    </xf>
    <xf numFmtId="0" fontId="34" fillId="0" borderId="53" xfId="3" applyNumberFormat="1" applyFont="1" applyFill="1" applyBorder="1" applyAlignment="1">
      <alignment horizontal="left" vertical="center" wrapText="1"/>
    </xf>
    <xf numFmtId="312" fontId="21" fillId="0" borderId="22" xfId="3" applyNumberFormat="1" applyFont="1" applyFill="1" applyBorder="1" applyAlignment="1">
      <alignment horizontal="center" vertical="center" wrapText="1"/>
    </xf>
    <xf numFmtId="312" fontId="21" fillId="0" borderId="38" xfId="3" applyNumberFormat="1" applyFont="1" applyFill="1" applyBorder="1" applyAlignment="1">
      <alignment horizontal="center" vertical="center" wrapText="1"/>
    </xf>
    <xf numFmtId="312" fontId="20" fillId="0" borderId="3" xfId="0" applyNumberFormat="1" applyFont="1" applyFill="1" applyBorder="1" applyAlignment="1">
      <alignment vertical="center" wrapText="1"/>
    </xf>
    <xf numFmtId="312" fontId="21" fillId="0" borderId="3" xfId="0" applyNumberFormat="1" applyFont="1" applyFill="1" applyBorder="1" applyAlignment="1">
      <alignment vertical="center" wrapText="1"/>
    </xf>
    <xf numFmtId="312" fontId="21" fillId="0" borderId="39" xfId="0" applyNumberFormat="1" applyFont="1" applyFill="1" applyBorder="1" applyAlignment="1">
      <alignment vertical="center" wrapText="1"/>
    </xf>
    <xf numFmtId="312" fontId="21" fillId="0" borderId="39" xfId="3" applyNumberFormat="1" applyFont="1" applyFill="1" applyBorder="1" applyAlignment="1">
      <alignment horizontal="center" vertical="center" wrapText="1"/>
    </xf>
    <xf numFmtId="0" fontId="20" fillId="0" borderId="94" xfId="0" quotePrefix="1" applyFont="1" applyFill="1" applyBorder="1" applyAlignment="1">
      <alignment horizontal="center" vertical="center" wrapText="1"/>
    </xf>
    <xf numFmtId="0" fontId="20" fillId="0" borderId="94" xfId="0" applyFont="1" applyFill="1" applyBorder="1" applyAlignment="1">
      <alignment vertical="center" wrapText="1"/>
    </xf>
    <xf numFmtId="167" fontId="20" fillId="0" borderId="94" xfId="3" applyNumberFormat="1" applyFont="1" applyFill="1" applyBorder="1" applyAlignment="1">
      <alignment horizontal="center" vertical="center" wrapText="1"/>
    </xf>
    <xf numFmtId="167" fontId="20" fillId="0" borderId="94" xfId="3" applyNumberFormat="1" applyFont="1" applyFill="1" applyBorder="1"/>
    <xf numFmtId="0" fontId="20" fillId="0" borderId="94" xfId="0" quotePrefix="1" applyFont="1" applyFill="1" applyBorder="1" applyAlignment="1">
      <alignment horizontal="right" vertical="center" wrapText="1"/>
    </xf>
    <xf numFmtId="0" fontId="20" fillId="0" borderId="94" xfId="0" applyFont="1" applyFill="1" applyBorder="1" applyAlignment="1">
      <alignment horizontal="left" vertical="center" wrapText="1"/>
    </xf>
    <xf numFmtId="0" fontId="20" fillId="0" borderId="39" xfId="0" quotePrefix="1" applyFont="1" applyFill="1" applyBorder="1" applyAlignment="1">
      <alignment horizontal="center" vertical="center" wrapText="1"/>
    </xf>
    <xf numFmtId="0" fontId="20" fillId="0" borderId="39" xfId="0" applyFont="1" applyFill="1" applyBorder="1" applyAlignment="1">
      <alignment horizontal="left" vertical="center" wrapText="1"/>
    </xf>
    <xf numFmtId="167" fontId="20" fillId="0" borderId="39" xfId="3" applyNumberFormat="1" applyFont="1" applyFill="1" applyBorder="1" applyAlignment="1">
      <alignment horizontal="center" vertical="center" wrapText="1"/>
    </xf>
    <xf numFmtId="0" fontId="30" fillId="0" borderId="0" xfId="0" applyFont="1" applyFill="1" applyAlignment="1">
      <alignment horizontal="right" vertical="center"/>
    </xf>
    <xf numFmtId="0" fontId="35" fillId="0" borderId="0" xfId="0" applyFont="1" applyFill="1" applyAlignment="1">
      <alignment horizontal="right" vertical="center"/>
    </xf>
    <xf numFmtId="0" fontId="30" fillId="0" borderId="22" xfId="0" applyFont="1" applyFill="1" applyBorder="1" applyAlignment="1">
      <alignment horizontal="center" vertical="center" wrapText="1"/>
    </xf>
    <xf numFmtId="0" fontId="34" fillId="0" borderId="6" xfId="0" applyFont="1" applyFill="1" applyBorder="1" applyAlignment="1">
      <alignment horizontal="center" vertical="center" wrapText="1"/>
    </xf>
    <xf numFmtId="169" fontId="34" fillId="0" borderId="6" xfId="0" applyNumberFormat="1"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0" fillId="0" borderId="40" xfId="0" applyFont="1" applyFill="1" applyBorder="1" applyAlignment="1">
      <alignment vertical="center" wrapText="1"/>
    </xf>
    <xf numFmtId="43" fontId="30" fillId="0" borderId="40" xfId="3" applyFont="1" applyFill="1" applyBorder="1" applyAlignment="1">
      <alignment horizontal="center" vertical="center" wrapText="1"/>
    </xf>
    <xf numFmtId="167" fontId="30" fillId="0" borderId="40" xfId="3" applyNumberFormat="1"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41" xfId="0" applyFont="1" applyFill="1" applyBorder="1" applyAlignment="1">
      <alignment vertical="center" wrapText="1"/>
    </xf>
    <xf numFmtId="43" fontId="30" fillId="0" borderId="41" xfId="3" applyFont="1" applyFill="1" applyBorder="1" applyAlignment="1">
      <alignment horizontal="center" vertical="center" wrapText="1"/>
    </xf>
    <xf numFmtId="167" fontId="30" fillId="0" borderId="41" xfId="3"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34" fillId="0" borderId="41" xfId="0" applyFont="1" applyFill="1" applyBorder="1" applyAlignment="1">
      <alignment vertical="center" wrapText="1"/>
    </xf>
    <xf numFmtId="43" fontId="34" fillId="0" borderId="41" xfId="3" applyFont="1" applyFill="1" applyBorder="1" applyAlignment="1">
      <alignment horizontal="center" vertical="center" wrapText="1"/>
    </xf>
    <xf numFmtId="167" fontId="34" fillId="0" borderId="41" xfId="3" applyNumberFormat="1" applyFont="1" applyFill="1" applyBorder="1" applyAlignment="1">
      <alignment horizontal="center" vertical="center" wrapText="1"/>
    </xf>
    <xf numFmtId="43" fontId="34" fillId="0" borderId="41" xfId="3" applyNumberFormat="1" applyFont="1" applyFill="1" applyBorder="1" applyAlignment="1">
      <alignment horizontal="center" vertical="center" wrapText="1"/>
    </xf>
    <xf numFmtId="168" fontId="34" fillId="0" borderId="41" xfId="3" applyNumberFormat="1" applyFont="1" applyFill="1" applyBorder="1" applyAlignment="1">
      <alignment horizontal="center" vertical="center" wrapText="1"/>
    </xf>
    <xf numFmtId="0" fontId="34" fillId="0" borderId="41" xfId="0" quotePrefix="1" applyFont="1" applyFill="1" applyBorder="1" applyAlignment="1">
      <alignment horizontal="left" vertical="center" wrapText="1"/>
    </xf>
    <xf numFmtId="0" fontId="30" fillId="0" borderId="42" xfId="0" applyFont="1" applyFill="1" applyBorder="1" applyAlignment="1">
      <alignment horizontal="center" vertical="center" wrapText="1"/>
    </xf>
    <xf numFmtId="0" fontId="30" fillId="0" borderId="42" xfId="0" applyFont="1" applyFill="1" applyBorder="1" applyAlignment="1">
      <alignment vertical="center" wrapText="1"/>
    </xf>
    <xf numFmtId="43" fontId="30" fillId="0" borderId="42" xfId="3" applyFont="1" applyFill="1" applyBorder="1" applyAlignment="1">
      <alignment horizontal="center" vertical="center" wrapText="1"/>
    </xf>
    <xf numFmtId="167" fontId="30" fillId="0" borderId="42" xfId="3" applyNumberFormat="1" applyFont="1" applyFill="1" applyBorder="1" applyAlignment="1">
      <alignment horizontal="center" vertical="center" wrapText="1"/>
    </xf>
    <xf numFmtId="0" fontId="34" fillId="0" borderId="0" xfId="0" applyFont="1" applyFill="1" applyAlignment="1">
      <alignment vertical="center"/>
    </xf>
    <xf numFmtId="43" fontId="34" fillId="0" borderId="15" xfId="3" applyFont="1" applyFill="1" applyBorder="1" applyAlignment="1">
      <alignment horizontal="center" vertical="center" wrapText="1"/>
    </xf>
    <xf numFmtId="167" fontId="34" fillId="0" borderId="0" xfId="3" applyNumberFormat="1" applyFont="1" applyFill="1"/>
    <xf numFmtId="0" fontId="31" fillId="0" borderId="0" xfId="0" applyFont="1" applyFill="1"/>
    <xf numFmtId="167" fontId="31" fillId="0" borderId="2" xfId="3" applyNumberFormat="1" applyFont="1" applyFill="1" applyBorder="1" applyAlignment="1">
      <alignment horizontal="center" vertical="center" wrapText="1"/>
    </xf>
    <xf numFmtId="0" fontId="30" fillId="0" borderId="6" xfId="0" applyFont="1" applyFill="1" applyBorder="1" applyAlignment="1">
      <alignment horizontal="center" vertical="center" wrapText="1"/>
    </xf>
    <xf numFmtId="165" fontId="30" fillId="0" borderId="0" xfId="0" applyNumberFormat="1" applyFont="1" applyFill="1"/>
    <xf numFmtId="168" fontId="30" fillId="0" borderId="0" xfId="3" applyNumberFormat="1" applyFont="1" applyFill="1"/>
    <xf numFmtId="0" fontId="34" fillId="0" borderId="42" xfId="0" applyFont="1" applyFill="1" applyBorder="1" applyAlignment="1">
      <alignment horizontal="center" vertical="center" wrapText="1"/>
    </xf>
    <xf numFmtId="167" fontId="34" fillId="0" borderId="42" xfId="3" applyNumberFormat="1" applyFont="1" applyFill="1" applyBorder="1" applyAlignment="1">
      <alignment horizontal="center" vertical="center" wrapText="1"/>
    </xf>
    <xf numFmtId="0" fontId="30" fillId="0" borderId="6" xfId="3" applyNumberFormat="1" applyFont="1" applyFill="1" applyBorder="1" applyAlignment="1">
      <alignment horizontal="center" vertical="center" wrapText="1"/>
    </xf>
    <xf numFmtId="0" fontId="30" fillId="0" borderId="52" xfId="0" applyFont="1" applyFill="1" applyBorder="1" applyAlignment="1">
      <alignment horizontal="center" vertical="center" wrapText="1"/>
    </xf>
    <xf numFmtId="0" fontId="30" fillId="0" borderId="52" xfId="0" applyFont="1" applyFill="1" applyBorder="1" applyAlignment="1">
      <alignment vertical="center" wrapText="1"/>
    </xf>
    <xf numFmtId="167" fontId="30" fillId="0" borderId="52" xfId="3" applyNumberFormat="1" applyFont="1" applyFill="1" applyBorder="1" applyAlignment="1">
      <alignment horizontal="center" vertical="center" wrapText="1"/>
    </xf>
    <xf numFmtId="0" fontId="34" fillId="0" borderId="95" xfId="0" applyFont="1" applyFill="1" applyBorder="1" applyAlignment="1">
      <alignment horizontal="center" vertical="center" wrapText="1"/>
    </xf>
    <xf numFmtId="0" fontId="34" fillId="0" borderId="95" xfId="0" applyFont="1" applyFill="1" applyBorder="1" applyAlignment="1">
      <alignment vertical="center" wrapText="1"/>
    </xf>
    <xf numFmtId="167" fontId="34" fillId="0" borderId="95" xfId="3" applyNumberFormat="1" applyFont="1" applyFill="1" applyBorder="1" applyAlignment="1">
      <alignment horizontal="center" vertical="center" wrapText="1"/>
    </xf>
    <xf numFmtId="0" fontId="34" fillId="0" borderId="96" xfId="0" applyFont="1" applyFill="1" applyBorder="1" applyAlignment="1">
      <alignment horizontal="center" vertical="center" wrapText="1"/>
    </xf>
    <xf numFmtId="0" fontId="34" fillId="0" borderId="96" xfId="0" applyFont="1" applyFill="1" applyBorder="1" applyAlignment="1">
      <alignment vertical="top" wrapText="1"/>
    </xf>
    <xf numFmtId="167" fontId="34" fillId="0" borderId="96" xfId="3" applyNumberFormat="1" applyFont="1" applyFill="1" applyBorder="1" applyAlignment="1">
      <alignment horizontal="center" vertical="center" wrapText="1"/>
    </xf>
    <xf numFmtId="179" fontId="34" fillId="0" borderId="0" xfId="3" applyNumberFormat="1" applyFont="1" applyFill="1"/>
    <xf numFmtId="43" fontId="34" fillId="0" borderId="0" xfId="0" applyNumberFormat="1" applyFont="1" applyFill="1"/>
    <xf numFmtId="0" fontId="34" fillId="0" borderId="2" xfId="0" applyFont="1" applyFill="1" applyBorder="1" applyAlignment="1">
      <alignment horizontal="center" vertical="center" wrapText="1"/>
    </xf>
    <xf numFmtId="0" fontId="34" fillId="0" borderId="52" xfId="0" applyFont="1" applyFill="1" applyBorder="1" applyAlignment="1">
      <alignment horizontal="center" vertical="center" wrapText="1"/>
    </xf>
    <xf numFmtId="43" fontId="30" fillId="0" borderId="52" xfId="3" applyFont="1" applyFill="1" applyBorder="1" applyAlignment="1">
      <alignment horizontal="center" vertical="center" wrapText="1"/>
    </xf>
    <xf numFmtId="0" fontId="34" fillId="0" borderId="41" xfId="0" applyFont="1" applyFill="1" applyBorder="1" applyAlignment="1">
      <alignment horizontal="left" vertical="center" wrapText="1"/>
    </xf>
    <xf numFmtId="166" fontId="30" fillId="0" borderId="41" xfId="3" applyNumberFormat="1" applyFont="1" applyFill="1" applyBorder="1" applyAlignment="1">
      <alignment horizontal="center" vertical="center" wrapText="1"/>
    </xf>
    <xf numFmtId="0" fontId="34" fillId="0" borderId="42" xfId="0" applyFont="1" applyFill="1" applyBorder="1" applyAlignment="1">
      <alignment vertical="center" wrapText="1"/>
    </xf>
    <xf numFmtId="43" fontId="34" fillId="0" borderId="42" xfId="3" applyFont="1" applyFill="1" applyBorder="1" applyAlignment="1">
      <alignment horizontal="center" vertical="center" wrapText="1"/>
    </xf>
    <xf numFmtId="4" fontId="20" fillId="0" borderId="0" xfId="0" applyNumberFormat="1" applyFont="1"/>
    <xf numFmtId="4" fontId="20" fillId="0" borderId="0" xfId="0" applyNumberFormat="1" applyFont="1" applyFill="1"/>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20" fillId="0" borderId="9" xfId="0" applyFont="1" applyBorder="1" applyAlignment="1">
      <alignment horizontal="center"/>
    </xf>
    <xf numFmtId="0" fontId="21" fillId="0" borderId="22" xfId="0" applyFont="1" applyBorder="1" applyAlignment="1">
      <alignment horizontal="center" vertical="center"/>
    </xf>
    <xf numFmtId="0" fontId="28" fillId="0" borderId="22" xfId="0" applyFont="1" applyBorder="1" applyAlignment="1">
      <alignment horizontal="center" vertical="center"/>
    </xf>
    <xf numFmtId="0" fontId="28" fillId="0" borderId="22"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39" fillId="0" borderId="0" xfId="0" applyFont="1" applyAlignment="1">
      <alignment horizontal="center"/>
    </xf>
    <xf numFmtId="0" fontId="20" fillId="0" borderId="3" xfId="0" applyFont="1" applyBorder="1" applyAlignment="1">
      <alignment horizontal="center" vertical="center"/>
    </xf>
    <xf numFmtId="0" fontId="21" fillId="0" borderId="22" xfId="0" applyFont="1" applyBorder="1" applyAlignment="1">
      <alignment horizontal="center" vertical="center" wrapText="1"/>
    </xf>
    <xf numFmtId="0" fontId="21" fillId="0" borderId="34" xfId="0" applyFont="1" applyBorder="1" applyAlignment="1">
      <alignment horizontal="center" vertical="center"/>
    </xf>
    <xf numFmtId="0" fontId="21" fillId="0" borderId="35" xfId="0" applyFont="1" applyBorder="1" applyAlignment="1">
      <alignment horizontal="center"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0" fillId="0" borderId="0" xfId="0" applyFont="1" applyAlignment="1">
      <alignment horizontal="center"/>
    </xf>
    <xf numFmtId="0" fontId="21" fillId="0" borderId="31"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1" xfId="0" applyFont="1" applyBorder="1" applyAlignment="1">
      <alignment horizontal="center" vertical="center"/>
    </xf>
    <xf numFmtId="0" fontId="21" fillId="0" borderId="33" xfId="0" applyFont="1" applyBorder="1" applyAlignment="1">
      <alignment horizontal="center" vertical="center"/>
    </xf>
    <xf numFmtId="0" fontId="21" fillId="0" borderId="32" xfId="0" applyFont="1" applyBorder="1" applyAlignment="1">
      <alignment horizontal="center" vertical="center"/>
    </xf>
    <xf numFmtId="0" fontId="39" fillId="0" borderId="9" xfId="0" applyFont="1" applyBorder="1" applyAlignment="1">
      <alignment horizontal="center"/>
    </xf>
    <xf numFmtId="0" fontId="39" fillId="0" borderId="0" xfId="0" applyFont="1" applyAlignment="1">
      <alignment horizontal="center" vertical="center"/>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39" fillId="0" borderId="0" xfId="0" applyFont="1" applyAlignment="1">
      <alignment horizontal="center" vertical="center" wrapText="1"/>
    </xf>
    <xf numFmtId="0" fontId="25" fillId="0" borderId="0" xfId="0" applyFont="1" applyAlignment="1">
      <alignment horizontal="center" vertical="center"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0" fontId="25" fillId="0" borderId="9" xfId="0" applyFont="1" applyBorder="1" applyAlignment="1">
      <alignment horizontal="center" vertical="center"/>
    </xf>
    <xf numFmtId="0" fontId="21" fillId="2" borderId="30"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5" xfId="0" applyFont="1" applyFill="1" applyBorder="1" applyAlignment="1">
      <alignment horizontal="center" vertical="center" wrapText="1"/>
    </xf>
    <xf numFmtId="167" fontId="8" fillId="0" borderId="0" xfId="19" applyNumberFormat="1" applyFont="1" applyFill="1" applyAlignment="1">
      <alignment horizontal="center" vertical="center" wrapText="1"/>
    </xf>
    <xf numFmtId="167" fontId="19" fillId="0" borderId="0" xfId="19" applyNumberFormat="1" applyFont="1" applyFill="1" applyAlignment="1">
      <alignment horizontal="center" vertical="center" wrapText="1"/>
    </xf>
    <xf numFmtId="167" fontId="14" fillId="0" borderId="0" xfId="19" applyNumberFormat="1" applyFont="1" applyFill="1" applyAlignment="1">
      <alignment horizontal="center" vertical="center" wrapText="1"/>
    </xf>
    <xf numFmtId="167" fontId="14" fillId="0" borderId="0" xfId="19" applyNumberFormat="1" applyFont="1" applyFill="1" applyAlignment="1">
      <alignment horizontal="center" vertical="center"/>
    </xf>
    <xf numFmtId="167" fontId="239" fillId="0" borderId="0" xfId="19" applyNumberFormat="1" applyFont="1" applyFill="1" applyAlignment="1">
      <alignment horizontal="center" vertical="center"/>
    </xf>
    <xf numFmtId="167" fontId="14" fillId="0" borderId="90" xfId="19" applyNumberFormat="1" applyFont="1" applyFill="1" applyBorder="1" applyAlignment="1">
      <alignment horizontal="center" vertical="center" wrapText="1"/>
    </xf>
    <xf numFmtId="43" fontId="14" fillId="0" borderId="90" xfId="19" applyFont="1" applyFill="1" applyBorder="1" applyAlignment="1">
      <alignment horizontal="center" vertical="center" wrapText="1"/>
    </xf>
    <xf numFmtId="167" fontId="14" fillId="0" borderId="91" xfId="19" applyNumberFormat="1" applyFont="1" applyFill="1" applyBorder="1" applyAlignment="1">
      <alignment horizontal="center" vertical="center" wrapText="1"/>
    </xf>
    <xf numFmtId="167" fontId="14" fillId="0" borderId="92" xfId="19" applyNumberFormat="1" applyFont="1" applyFill="1" applyBorder="1" applyAlignment="1">
      <alignment horizontal="center" vertical="center" wrapText="1"/>
    </xf>
    <xf numFmtId="167" fontId="14" fillId="0" borderId="49" xfId="19" applyNumberFormat="1" applyFont="1" applyFill="1" applyBorder="1" applyAlignment="1">
      <alignment horizontal="center" vertical="center" wrapText="1"/>
    </xf>
    <xf numFmtId="167" fontId="14" fillId="0" borderId="4" xfId="19" applyNumberFormat="1" applyFont="1" applyFill="1" applyBorder="1" applyAlignment="1">
      <alignment horizontal="center" vertical="center" wrapText="1"/>
    </xf>
    <xf numFmtId="167" fontId="14" fillId="0" borderId="5" xfId="19" applyNumberFormat="1" applyFont="1" applyFill="1" applyBorder="1" applyAlignment="1">
      <alignment horizontal="center" vertical="center" wrapText="1"/>
    </xf>
    <xf numFmtId="43" fontId="8" fillId="0" borderId="93" xfId="19" applyFont="1" applyFill="1" applyBorder="1" applyAlignment="1">
      <alignment horizontal="center" vertical="center" wrapText="1"/>
    </xf>
    <xf numFmtId="43" fontId="8" fillId="0" borderId="10" xfId="19" applyFont="1" applyFill="1" applyBorder="1" applyAlignment="1">
      <alignment horizontal="center" vertical="center" wrapText="1"/>
    </xf>
    <xf numFmtId="166" fontId="8" fillId="0" borderId="49" xfId="19" applyNumberFormat="1" applyFont="1" applyFill="1" applyBorder="1" applyAlignment="1">
      <alignment horizontal="center" vertical="center" wrapText="1"/>
    </xf>
    <xf numFmtId="166" fontId="8" fillId="0" borderId="5" xfId="19" applyNumberFormat="1" applyFont="1" applyFill="1" applyBorder="1" applyAlignment="1">
      <alignment horizontal="center" vertical="center" wrapText="1"/>
    </xf>
    <xf numFmtId="167" fontId="8" fillId="0" borderId="93" xfId="19" applyNumberFormat="1" applyFont="1" applyFill="1" applyBorder="1" applyAlignment="1">
      <alignment horizontal="center" vertical="center" wrapText="1"/>
    </xf>
    <xf numFmtId="167" fontId="8" fillId="0" borderId="10" xfId="19" applyNumberFormat="1" applyFont="1" applyFill="1" applyBorder="1" applyAlignment="1">
      <alignment horizontal="center" vertical="center" wrapText="1"/>
    </xf>
    <xf numFmtId="168" fontId="8" fillId="0" borderId="49" xfId="3" applyNumberFormat="1" applyFont="1" applyFill="1" applyBorder="1" applyAlignment="1">
      <alignment horizontal="center" vertical="center" wrapText="1"/>
    </xf>
    <xf numFmtId="168" fontId="8" fillId="0" borderId="5" xfId="3" applyNumberFormat="1" applyFont="1" applyFill="1" applyBorder="1" applyAlignment="1">
      <alignment horizontal="center" vertical="center" wrapText="1"/>
    </xf>
    <xf numFmtId="168" fontId="19" fillId="0" borderId="54" xfId="3" applyNumberFormat="1" applyFont="1" applyFill="1" applyBorder="1" applyAlignment="1">
      <alignment horizontal="center" vertical="center"/>
    </xf>
    <xf numFmtId="0" fontId="21" fillId="0" borderId="0" xfId="0" applyFont="1" applyFill="1" applyAlignment="1">
      <alignment horizontal="center" vertical="center"/>
    </xf>
    <xf numFmtId="0" fontId="25" fillId="0" borderId="16" xfId="0" applyFont="1" applyFill="1" applyBorder="1" applyAlignment="1">
      <alignment horizontal="right" vertical="center"/>
    </xf>
    <xf numFmtId="168" fontId="21" fillId="0" borderId="11" xfId="3" applyNumberFormat="1" applyFont="1" applyFill="1" applyBorder="1" applyAlignment="1">
      <alignment horizontal="center" vertical="center" wrapText="1"/>
    </xf>
    <xf numFmtId="168" fontId="21" fillId="0" borderId="6" xfId="3" applyNumberFormat="1"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0" xfId="0" applyFont="1" applyFill="1" applyAlignment="1">
      <alignment horizontal="center"/>
    </xf>
    <xf numFmtId="0" fontId="29" fillId="0" borderId="0" xfId="0" applyFont="1" applyFill="1" applyAlignment="1">
      <alignment vertical="center" wrapText="1"/>
    </xf>
    <xf numFmtId="0" fontId="25" fillId="0" borderId="0" xfId="0" applyFont="1" applyFill="1" applyAlignment="1">
      <alignment vertical="center" wrapText="1"/>
    </xf>
    <xf numFmtId="0" fontId="25" fillId="0" borderId="0" xfId="0" applyFont="1" applyFill="1" applyAlignment="1">
      <alignment vertical="center"/>
    </xf>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5" fillId="0" borderId="0" xfId="0" applyFont="1" applyBorder="1" applyAlignment="1">
      <alignment horizont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39" fillId="2" borderId="43" xfId="0" applyFont="1" applyFill="1" applyBorder="1" applyAlignment="1">
      <alignment horizontal="center" vertical="center" wrapText="1"/>
    </xf>
    <xf numFmtId="0" fontId="39" fillId="2" borderId="44" xfId="0" applyFont="1" applyFill="1" applyBorder="1" applyAlignment="1">
      <alignment horizontal="center" vertical="center" wrapText="1"/>
    </xf>
    <xf numFmtId="0" fontId="39" fillId="2" borderId="45"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5" fillId="0" borderId="16" xfId="0" applyFont="1" applyBorder="1" applyAlignment="1">
      <alignment horizontal="center" vertical="center"/>
    </xf>
    <xf numFmtId="0" fontId="21" fillId="0" borderId="30" xfId="0" applyFont="1" applyFill="1" applyBorder="1" applyAlignment="1">
      <alignment horizontal="center" vertical="center" wrapText="1"/>
    </xf>
    <xf numFmtId="0" fontId="21" fillId="0" borderId="5" xfId="0" applyFont="1" applyFill="1" applyBorder="1" applyAlignment="1">
      <alignment horizontal="center" vertical="center" wrapText="1"/>
    </xf>
    <xf numFmtId="167" fontId="21" fillId="0" borderId="0" xfId="3" applyNumberFormat="1" applyFont="1" applyFill="1" applyBorder="1" applyAlignment="1">
      <alignment horizontal="center" vertical="center" wrapText="1"/>
    </xf>
    <xf numFmtId="167" fontId="25" fillId="0" borderId="9" xfId="3" applyNumberFormat="1" applyFont="1" applyFill="1" applyBorder="1" applyAlignment="1">
      <alignment horizontal="left" vertical="center"/>
    </xf>
    <xf numFmtId="0" fontId="21" fillId="0" borderId="2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5" xfId="0" applyFont="1" applyFill="1" applyBorder="1" applyAlignment="1">
      <alignment horizontal="center" vertical="center" wrapText="1"/>
    </xf>
    <xf numFmtId="168" fontId="21" fillId="0" borderId="27" xfId="3" applyNumberFormat="1" applyFont="1" applyFill="1" applyBorder="1" applyAlignment="1">
      <alignment horizontal="center" vertical="center" wrapText="1"/>
    </xf>
    <xf numFmtId="168" fontId="21" fillId="0" borderId="5" xfId="3" applyNumberFormat="1" applyFont="1" applyFill="1" applyBorder="1" applyAlignment="1">
      <alignment horizontal="center" vertical="center" wrapText="1"/>
    </xf>
    <xf numFmtId="167" fontId="20" fillId="0" borderId="2" xfId="3" applyNumberFormat="1" applyFont="1" applyFill="1" applyBorder="1" applyAlignment="1">
      <alignment horizontal="center"/>
    </xf>
    <xf numFmtId="0" fontId="21" fillId="0" borderId="0"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6" fillId="0" borderId="0" xfId="0" applyFont="1" applyAlignment="1">
      <alignment vertical="center" wrapText="1"/>
    </xf>
    <xf numFmtId="0" fontId="21" fillId="0" borderId="0" xfId="0" applyFont="1"/>
    <xf numFmtId="0" fontId="20" fillId="0" borderId="0" xfId="0" applyFont="1" applyAlignment="1">
      <alignment horizontal="center" vertical="center"/>
    </xf>
    <xf numFmtId="0" fontId="25" fillId="0" borderId="0" xfId="0" applyFont="1" applyAlignment="1">
      <alignment horizontal="center" vertical="center"/>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170" fontId="39" fillId="0" borderId="9" xfId="0" applyNumberFormat="1" applyFont="1" applyBorder="1" applyAlignment="1">
      <alignment horizontal="center"/>
    </xf>
    <xf numFmtId="170" fontId="25" fillId="0" borderId="54" xfId="0" applyNumberFormat="1" applyFont="1" applyFill="1" applyBorder="1" applyAlignment="1">
      <alignment horizontal="center"/>
    </xf>
    <xf numFmtId="0" fontId="21" fillId="0" borderId="4" xfId="0" applyFont="1" applyFill="1" applyBorder="1" applyAlignment="1">
      <alignment horizontal="center" vertical="center" wrapText="1"/>
    </xf>
    <xf numFmtId="168" fontId="21" fillId="0" borderId="22" xfId="3" applyNumberFormat="1"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5" fillId="0" borderId="22" xfId="0" applyFont="1" applyFill="1" applyBorder="1" applyAlignment="1">
      <alignment horizontal="center" vertical="center"/>
    </xf>
    <xf numFmtId="0" fontId="30" fillId="0" borderId="22" xfId="0" applyFont="1" applyFill="1" applyBorder="1" applyAlignment="1">
      <alignment horizontal="center" vertical="center" wrapText="1"/>
    </xf>
    <xf numFmtId="43" fontId="30" fillId="0" borderId="22" xfId="3" applyFont="1" applyFill="1" applyBorder="1" applyAlignment="1">
      <alignment horizontal="center" vertical="center" wrapText="1"/>
    </xf>
    <xf numFmtId="167" fontId="34" fillId="0" borderId="22" xfId="3" applyNumberFormat="1" applyFont="1" applyFill="1" applyBorder="1" applyAlignment="1">
      <alignment horizontal="center"/>
    </xf>
    <xf numFmtId="0" fontId="30" fillId="0" borderId="0" xfId="0" applyFont="1" applyFill="1" applyAlignment="1">
      <alignment horizontal="center" vertical="center"/>
    </xf>
    <xf numFmtId="0" fontId="33" fillId="0" borderId="2" xfId="0" applyFont="1" applyFill="1" applyBorder="1" applyAlignment="1">
      <alignment horizontal="center" vertical="center" wrapText="1"/>
    </xf>
    <xf numFmtId="167" fontId="33" fillId="0" borderId="24" xfId="3" applyNumberFormat="1" applyFont="1" applyFill="1" applyBorder="1" applyAlignment="1">
      <alignment horizontal="center" vertical="center"/>
    </xf>
    <xf numFmtId="167" fontId="33" fillId="0" borderId="26" xfId="3" applyNumberFormat="1" applyFont="1" applyFill="1" applyBorder="1" applyAlignment="1">
      <alignment horizontal="center" vertical="center"/>
    </xf>
    <xf numFmtId="167" fontId="33" fillId="0" borderId="25" xfId="3" applyNumberFormat="1" applyFont="1" applyFill="1" applyBorder="1" applyAlignment="1">
      <alignment horizontal="center" vertical="center"/>
    </xf>
    <xf numFmtId="167" fontId="35" fillId="0" borderId="0" xfId="3" applyNumberFormat="1" applyFont="1" applyFill="1" applyBorder="1" applyAlignment="1">
      <alignment horizontal="center" vertical="center"/>
    </xf>
    <xf numFmtId="167" fontId="33" fillId="0" borderId="2" xfId="3" applyNumberFormat="1" applyFont="1" applyFill="1" applyBorder="1" applyAlignment="1">
      <alignment horizontal="center" vertical="center" wrapText="1"/>
    </xf>
    <xf numFmtId="167" fontId="33" fillId="0" borderId="24" xfId="3" applyNumberFormat="1" applyFont="1" applyFill="1" applyBorder="1" applyAlignment="1">
      <alignment horizontal="center" vertical="center" wrapText="1"/>
    </xf>
    <xf numFmtId="167" fontId="33" fillId="0" borderId="26" xfId="3" applyNumberFormat="1" applyFont="1" applyFill="1" applyBorder="1" applyAlignment="1">
      <alignment horizontal="center" vertical="center" wrapText="1"/>
    </xf>
    <xf numFmtId="167" fontId="33" fillId="0" borderId="25" xfId="3" applyNumberFormat="1" applyFont="1" applyFill="1" applyBorder="1" applyAlignment="1">
      <alignment horizontal="center" vertical="center" wrapText="1"/>
    </xf>
    <xf numFmtId="167" fontId="30" fillId="0" borderId="0" xfId="3" applyNumberFormat="1" applyFont="1" applyFill="1" applyAlignment="1">
      <alignment horizontal="center" vertical="center"/>
    </xf>
    <xf numFmtId="167" fontId="31" fillId="0" borderId="2" xfId="3" applyNumberFormat="1" applyFont="1" applyFill="1" applyBorder="1" applyAlignment="1">
      <alignment horizontal="center" vertical="center" wrapText="1"/>
    </xf>
    <xf numFmtId="0" fontId="30" fillId="0" borderId="2" xfId="0" applyFont="1" applyFill="1" applyBorder="1" applyAlignment="1">
      <alignment horizontal="center" vertical="center" wrapText="1"/>
    </xf>
    <xf numFmtId="0" fontId="34" fillId="0" borderId="2" xfId="0" applyFont="1" applyFill="1" applyBorder="1" applyAlignment="1">
      <alignment horizontal="center" vertical="center" wrapText="1"/>
    </xf>
    <xf numFmtId="43" fontId="30" fillId="0" borderId="2" xfId="3" applyFont="1" applyFill="1" applyBorder="1" applyAlignment="1">
      <alignment horizontal="center" vertical="center" wrapText="1"/>
    </xf>
    <xf numFmtId="167" fontId="30" fillId="0" borderId="2" xfId="0" applyNumberFormat="1" applyFont="1" applyFill="1" applyBorder="1" applyAlignment="1">
      <alignment horizontal="center" vertical="center"/>
    </xf>
    <xf numFmtId="0" fontId="20" fillId="2" borderId="23" xfId="0" applyFont="1" applyFill="1" applyBorder="1" applyAlignment="1">
      <alignment horizontal="center" vertical="center" wrapText="1"/>
    </xf>
    <xf numFmtId="0" fontId="8" fillId="0" borderId="22" xfId="0" applyFont="1" applyBorder="1" applyAlignment="1">
      <alignment horizontal="center" vertical="center" wrapText="1"/>
    </xf>
    <xf numFmtId="0" fontId="40" fillId="0" borderId="0" xfId="0" applyFont="1" applyAlignment="1">
      <alignment horizontal="center" vertical="center"/>
    </xf>
    <xf numFmtId="0" fontId="14" fillId="0" borderId="0" xfId="0" applyFont="1" applyAlignment="1">
      <alignment horizontal="center" vertical="center"/>
    </xf>
    <xf numFmtId="0" fontId="19" fillId="0" borderId="54" xfId="0" applyFont="1" applyBorder="1" applyAlignment="1">
      <alignment horizontal="center" vertical="center"/>
    </xf>
    <xf numFmtId="0" fontId="14" fillId="0" borderId="22" xfId="0" applyFont="1" applyBorder="1" applyAlignment="1">
      <alignment horizontal="center" vertical="center" wrapText="1"/>
    </xf>
    <xf numFmtId="0" fontId="41" fillId="3" borderId="0" xfId="14" applyFont="1" applyFill="1" applyAlignment="1">
      <alignment horizontal="center" vertical="center" wrapText="1"/>
    </xf>
    <xf numFmtId="1" fontId="34" fillId="0" borderId="0" xfId="16" quotePrefix="1" applyNumberFormat="1" applyFont="1" applyFill="1" applyAlignment="1">
      <alignment horizontal="left" vertical="center" wrapText="1"/>
    </xf>
    <xf numFmtId="180" fontId="33" fillId="3" borderId="34" xfId="16" applyNumberFormat="1" applyFont="1" applyFill="1" applyBorder="1" applyAlignment="1">
      <alignment horizontal="center" vertical="center" wrapText="1"/>
    </xf>
    <xf numFmtId="180" fontId="33" fillId="3" borderId="35" xfId="16" applyNumberFormat="1" applyFont="1" applyFill="1" applyBorder="1" applyAlignment="1">
      <alignment horizontal="center" vertical="center" wrapText="1"/>
    </xf>
    <xf numFmtId="3" fontId="31" fillId="3" borderId="30" xfId="16" applyNumberFormat="1" applyFont="1" applyFill="1" applyBorder="1" applyAlignment="1">
      <alignment horizontal="center" vertical="center" wrapText="1"/>
    </xf>
    <xf numFmtId="3" fontId="31" fillId="3" borderId="4" xfId="16" applyNumberFormat="1" applyFont="1" applyFill="1" applyBorder="1" applyAlignment="1">
      <alignment horizontal="center" vertical="center" wrapText="1"/>
    </xf>
    <xf numFmtId="3" fontId="31" fillId="3" borderId="5" xfId="16" applyNumberFormat="1" applyFont="1" applyFill="1" applyBorder="1" applyAlignment="1">
      <alignment horizontal="center" vertical="center" wrapText="1"/>
    </xf>
    <xf numFmtId="180" fontId="31" fillId="3" borderId="30" xfId="16" applyNumberFormat="1" applyFont="1" applyFill="1" applyBorder="1" applyAlignment="1">
      <alignment horizontal="center" vertical="center" wrapText="1"/>
    </xf>
    <xf numFmtId="180" fontId="31" fillId="3" borderId="4" xfId="16" applyNumberFormat="1" applyFont="1" applyFill="1" applyBorder="1" applyAlignment="1">
      <alignment horizontal="center" vertical="center" wrapText="1"/>
    </xf>
    <xf numFmtId="0" fontId="30" fillId="3" borderId="0" xfId="14" applyFont="1" applyFill="1" applyAlignment="1">
      <alignment horizontal="center" vertical="center"/>
    </xf>
    <xf numFmtId="0" fontId="32" fillId="3" borderId="9" xfId="14" applyFont="1" applyFill="1" applyBorder="1" applyAlignment="1">
      <alignment horizontal="center" vertical="center" wrapText="1"/>
    </xf>
    <xf numFmtId="180" fontId="31" fillId="3" borderId="22" xfId="16" applyNumberFormat="1" applyFont="1" applyFill="1" applyBorder="1" applyAlignment="1">
      <alignment horizontal="center" vertical="center" wrapText="1"/>
    </xf>
    <xf numFmtId="3" fontId="32" fillId="3" borderId="22" xfId="16" applyNumberFormat="1" applyFont="1" applyFill="1" applyBorder="1" applyAlignment="1">
      <alignment horizontal="center" vertical="center" wrapText="1"/>
    </xf>
    <xf numFmtId="180" fontId="31" fillId="3" borderId="31" xfId="16" applyNumberFormat="1" applyFont="1" applyFill="1" applyBorder="1" applyAlignment="1">
      <alignment horizontal="center" vertical="center" wrapText="1"/>
    </xf>
    <xf numFmtId="180" fontId="31" fillId="3" borderId="32" xfId="16" applyNumberFormat="1" applyFont="1" applyFill="1" applyBorder="1" applyAlignment="1">
      <alignment horizontal="center" vertical="center" wrapText="1"/>
    </xf>
    <xf numFmtId="180" fontId="31" fillId="3" borderId="5" xfId="16" applyNumberFormat="1" applyFont="1" applyFill="1" applyBorder="1" applyAlignment="1">
      <alignment horizontal="center" vertical="center" wrapText="1"/>
    </xf>
    <xf numFmtId="3" fontId="33" fillId="3" borderId="31" xfId="16" applyNumberFormat="1" applyFont="1" applyFill="1" applyBorder="1" applyAlignment="1">
      <alignment horizontal="center" vertical="center" wrapText="1"/>
    </xf>
    <xf numFmtId="3" fontId="33" fillId="3" borderId="33" xfId="16" applyNumberFormat="1" applyFont="1" applyFill="1" applyBorder="1" applyAlignment="1">
      <alignment horizontal="center" vertical="center" wrapText="1"/>
    </xf>
    <xf numFmtId="3" fontId="33" fillId="3" borderId="32" xfId="16" applyNumberFormat="1" applyFont="1" applyFill="1" applyBorder="1" applyAlignment="1">
      <alignment horizontal="center" vertical="center" wrapText="1"/>
    </xf>
    <xf numFmtId="180" fontId="33" fillId="3" borderId="22" xfId="16" applyNumberFormat="1" applyFont="1" applyFill="1" applyBorder="1" applyAlignment="1">
      <alignment horizontal="center" vertical="center" wrapText="1"/>
    </xf>
    <xf numFmtId="0" fontId="30" fillId="3" borderId="0" xfId="14" applyFont="1" applyFill="1" applyAlignment="1">
      <alignment horizontal="center" vertical="center" wrapText="1"/>
    </xf>
    <xf numFmtId="0" fontId="33" fillId="3" borderId="30" xfId="15" applyFont="1" applyFill="1" applyBorder="1" applyAlignment="1">
      <alignment horizontal="center" vertical="center" wrapText="1"/>
    </xf>
    <xf numFmtId="0" fontId="33" fillId="3" borderId="4" xfId="15" applyFont="1" applyFill="1" applyBorder="1" applyAlignment="1">
      <alignment horizontal="center" vertical="center" wrapText="1"/>
    </xf>
    <xf numFmtId="0" fontId="33" fillId="3" borderId="5" xfId="15" applyFont="1" applyFill="1" applyBorder="1" applyAlignment="1">
      <alignment horizontal="center" vertical="center" wrapText="1"/>
    </xf>
    <xf numFmtId="0" fontId="33" fillId="3" borderId="34" xfId="14" applyFont="1" applyFill="1" applyBorder="1" applyAlignment="1">
      <alignment horizontal="center" vertical="center" wrapText="1"/>
    </xf>
    <xf numFmtId="0" fontId="33" fillId="3" borderId="36" xfId="14" applyFont="1" applyFill="1" applyBorder="1" applyAlignment="1">
      <alignment horizontal="center" vertical="center" wrapText="1"/>
    </xf>
    <xf numFmtId="0" fontId="33" fillId="3" borderId="35" xfId="14" applyFont="1" applyFill="1" applyBorder="1" applyAlignment="1">
      <alignment horizontal="center" vertical="center" wrapText="1"/>
    </xf>
    <xf numFmtId="3" fontId="33" fillId="3" borderId="30" xfId="16" applyNumberFormat="1" applyFont="1" applyFill="1" applyBorder="1" applyAlignment="1">
      <alignment horizontal="center" vertical="center" wrapText="1"/>
    </xf>
    <xf numFmtId="3" fontId="33" fillId="3" borderId="4" xfId="16" applyNumberFormat="1" applyFont="1" applyFill="1" applyBorder="1" applyAlignment="1">
      <alignment horizontal="center" vertical="center" wrapText="1"/>
    </xf>
    <xf numFmtId="0" fontId="31" fillId="3" borderId="22" xfId="14" applyFont="1" applyFill="1" applyBorder="1" applyAlignment="1">
      <alignment horizontal="center" vertical="center" wrapText="1"/>
    </xf>
    <xf numFmtId="3" fontId="32" fillId="3" borderId="31" xfId="16" applyNumberFormat="1" applyFont="1" applyFill="1" applyBorder="1" applyAlignment="1">
      <alignment horizontal="center" vertical="center" wrapText="1"/>
    </xf>
    <xf numFmtId="3" fontId="32" fillId="3" borderId="33" xfId="16" applyNumberFormat="1" applyFont="1" applyFill="1" applyBorder="1" applyAlignment="1">
      <alignment horizontal="center" vertical="center" wrapText="1"/>
    </xf>
    <xf numFmtId="3" fontId="32" fillId="3" borderId="32" xfId="16" applyNumberFormat="1" applyFont="1" applyFill="1" applyBorder="1" applyAlignment="1">
      <alignment horizontal="center" vertical="center" wrapText="1"/>
    </xf>
    <xf numFmtId="0" fontId="30" fillId="0" borderId="2" xfId="7" applyFont="1" applyFill="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horizontal="center" vertical="center" wrapText="1"/>
    </xf>
    <xf numFmtId="0" fontId="30" fillId="0" borderId="0" xfId="7" applyNumberFormat="1" applyFont="1" applyFill="1" applyAlignment="1">
      <alignment horizontal="center" vertical="center" wrapText="1"/>
    </xf>
    <xf numFmtId="175" fontId="30" fillId="0" borderId="2" xfId="7" applyNumberFormat="1" applyFont="1" applyFill="1" applyBorder="1" applyAlignment="1" applyProtection="1">
      <alignment horizontal="center" vertical="center" wrapText="1"/>
    </xf>
    <xf numFmtId="0" fontId="41" fillId="0" borderId="0" xfId="7" applyNumberFormat="1" applyFont="1" applyFill="1" applyAlignment="1">
      <alignment horizontal="center" vertical="center" wrapText="1"/>
    </xf>
  </cellXfs>
  <cellStyles count="2020">
    <cellStyle name="_x0001_" xfId="21"/>
    <cellStyle name="          _x000d__x000a_shell=progman.exe_x000d__x000a_m" xfId="22"/>
    <cellStyle name="          _x000d__x000a_shell=progman.exe_x000d__x000a_m 2" xfId="23"/>
    <cellStyle name="#,##0" xfId="24"/>
    <cellStyle name="." xfId="25"/>
    <cellStyle name="._Book1" xfId="26"/>
    <cellStyle name="._VBPL kiểm toán Đầu tư XDCB 2010" xfId="27"/>
    <cellStyle name=".d©y" xfId="28"/>
    <cellStyle name="??" xfId="29"/>
    <cellStyle name="?? [ - ??1" xfId="30"/>
    <cellStyle name="?? [ - ??2" xfId="31"/>
    <cellStyle name="?? [ - ??3" xfId="32"/>
    <cellStyle name="?? [ - ??4" xfId="33"/>
    <cellStyle name="?? [ - ??5" xfId="34"/>
    <cellStyle name="?? [ - ??6" xfId="35"/>
    <cellStyle name="?? [ - ??7" xfId="36"/>
    <cellStyle name="?? [ - ??8" xfId="37"/>
    <cellStyle name="?? [0.00]_        " xfId="38"/>
    <cellStyle name="?? [0]" xfId="39"/>
    <cellStyle name="?_x001d_??%U©÷u&amp;H©÷9_x0008_? s_x000a__x0007__x0001__x0001_" xfId="40"/>
    <cellStyle name="???? [0.00]_      " xfId="41"/>
    <cellStyle name="??????" xfId="42"/>
    <cellStyle name="??????????????????? [0]_FTC_OFFER" xfId="43"/>
    <cellStyle name="???????????????????_FTC_OFFER" xfId="44"/>
    <cellStyle name="????_      " xfId="45"/>
    <cellStyle name="???[0]_?? DI" xfId="46"/>
    <cellStyle name="???_?? DI" xfId="47"/>
    <cellStyle name="??[0]_BRE" xfId="48"/>
    <cellStyle name="??_      " xfId="49"/>
    <cellStyle name="??A? [0]_laroux_1_¢¬???¢â? " xfId="50"/>
    <cellStyle name="??A?_laroux_1_¢¬???¢â? " xfId="51"/>
    <cellStyle name="?¡±¢¥?_?¨ù??¢´¢¥_¢¬???¢â? " xfId="52"/>
    <cellStyle name="?ðÇ%U?&amp;H?_x0008_?s_x000a__x0007__x0001__x0001_" xfId="53"/>
    <cellStyle name="[0]_Chi phÝ kh¸c_V" xfId="54"/>
    <cellStyle name="_1 TONG HOP - CA NA" xfId="55"/>
    <cellStyle name="_130307 So sanh thuc hien 2012 - du toan 2012 moi (pan khac)" xfId="56"/>
    <cellStyle name="_130313 Mau  bieu bao cao nguon luc cua dia phuong sua" xfId="57"/>
    <cellStyle name="_130818 Tong hop Danh gia thu 2013" xfId="58"/>
    <cellStyle name="_130818 Tong hop Danh gia thu 2013_140921 bu giam thu ND 209" xfId="59"/>
    <cellStyle name="_130818 Tong hop Danh gia thu 2013_140921 bu giam thu ND 209_Phu luc so 5 - sua ngay 04-01" xfId="60"/>
    <cellStyle name="_Bang Chi tieu (2)" xfId="61"/>
    <cellStyle name="_Bang Chi tieu (2) 2" xfId="62"/>
    <cellStyle name="_BAO GIA NGAY 24-10-08 (co dam)" xfId="63"/>
    <cellStyle name="_Bao gia TB Kon Dao 2010" xfId="64"/>
    <cellStyle name="_Biểu KH 5 năm gửi UB sửa biểu VHXH" xfId="65"/>
    <cellStyle name="_Bieu tong hop nhu cau ung_Mien Trung" xfId="66"/>
    <cellStyle name="_Bieu ung von 2011 NSNN - TPCP vung DBSClong (10-6-2010)" xfId="67"/>
    <cellStyle name="_Book1" xfId="68"/>
    <cellStyle name="_Book1_1" xfId="69"/>
    <cellStyle name="_Book1_2" xfId="70"/>
    <cellStyle name="_Book1_3" xfId="71"/>
    <cellStyle name="_Book1_BC-QT-WB-dthao" xfId="72"/>
    <cellStyle name="_Book1_Book1" xfId="73"/>
    <cellStyle name="_Book1_DT truong thinh phu" xfId="74"/>
    <cellStyle name="_Book1_Kh ql62 (2010) 11-09" xfId="75"/>
    <cellStyle name="_Book1_khoiluongbdacdoa" xfId="76"/>
    <cellStyle name="_Book1_Kiem Tra Don Gia" xfId="77"/>
    <cellStyle name="_Book1_TH KHAI TOAN THU THIEM cac tuyen TT noi" xfId="78"/>
    <cellStyle name="_C.cong+B.luong-Sanluong" xfId="79"/>
    <cellStyle name="_DG 2012-DT2013 - Theo sac thue -sua" xfId="80"/>
    <cellStyle name="_DG 2012-DT2013 - Theo sac thue -sua_120907 Thu tang them 4500" xfId="81"/>
    <cellStyle name="_DG 2012-DT2013 - Theo sac thue -sua_27-8Tong hop PA uoc 2012-DT 2013 -PA 420.000 ty-490.000 ty chuyen doi" xfId="82"/>
    <cellStyle name="_DO-D1500-KHONG CO TRONG DT" xfId="83"/>
    <cellStyle name="_DT truong thinh phu" xfId="84"/>
    <cellStyle name="_DTDT BL-DL" xfId="85"/>
    <cellStyle name="_du toan lan 3" xfId="86"/>
    <cellStyle name="_Duyet TK thay đôi" xfId="87"/>
    <cellStyle name="_GOITHAUSO2" xfId="88"/>
    <cellStyle name="_GOITHAUSO3" xfId="89"/>
    <cellStyle name="_GOITHAUSO4" xfId="90"/>
    <cellStyle name="_GTXD GOI 2" xfId="91"/>
    <cellStyle name="_GTXD GOI1" xfId="92"/>
    <cellStyle name="_GTXD GOI3" xfId="93"/>
    <cellStyle name="_HaHoa_TDT_DienCSang" xfId="94"/>
    <cellStyle name="_HaHoa_TDT_DienCSang 2" xfId="95"/>
    <cellStyle name="_HaHoa19-5-07" xfId="96"/>
    <cellStyle name="_HaHoa19-5-07 2" xfId="97"/>
    <cellStyle name="_Huong CHI tieu Nhiem vu CTMTQG 2014(1)" xfId="98"/>
    <cellStyle name="_Kh ql62 (2010) 11-09" xfId="99"/>
    <cellStyle name="_KH.DTC.gd2016-2020 tinh (T2-2015)" xfId="100"/>
    <cellStyle name="_khoiluongbdacdoa" xfId="101"/>
    <cellStyle name="_Kiem Tra Don Gia" xfId="102"/>
    <cellStyle name="_KT (2)" xfId="103"/>
    <cellStyle name="_KT (2)_1" xfId="104"/>
    <cellStyle name="_KT (2)_1_Book1" xfId="105"/>
    <cellStyle name="_KT (2)_1_Lora-tungchau" xfId="106"/>
    <cellStyle name="_KT (2)_1_Qt-HT3PQ1(CauKho)" xfId="107"/>
    <cellStyle name="_KT (2)_1_Qt-HT3PQ1(CauKho)_Book1" xfId="108"/>
    <cellStyle name="_KT (2)_1_Qt-HT3PQ1(CauKho)_Don gia quy 3 nam 2003 - Ban Dien Luc" xfId="109"/>
    <cellStyle name="_KT (2)_1_Qt-HT3PQ1(CauKho)_Kiem Tra Don Gia" xfId="110"/>
    <cellStyle name="_KT (2)_1_Qt-HT3PQ1(CauKho)_Kiem Tra Don Gia 2" xfId="111"/>
    <cellStyle name="_KT (2)_1_Qt-HT3PQ1(CauKho)_NC-VL2-2003" xfId="112"/>
    <cellStyle name="_KT (2)_1_Qt-HT3PQ1(CauKho)_NC-VL2-2003_1" xfId="113"/>
    <cellStyle name="_KT (2)_1_Qt-HT3PQ1(CauKho)_XL4Test5" xfId="114"/>
    <cellStyle name="_KT (2)_1_quy luong con lai nam 2004" xfId="115"/>
    <cellStyle name="_KT (2)_1_" xfId="116"/>
    <cellStyle name="_KT (2)_2" xfId="117"/>
    <cellStyle name="_KT (2)_2_Book1" xfId="118"/>
    <cellStyle name="_KT (2)_2_DTDuong dong tien -sua tham tra 2009 - luong 650" xfId="119"/>
    <cellStyle name="_KT (2)_2_quy luong con lai nam 2004" xfId="120"/>
    <cellStyle name="_KT (2)_2_TG-TH" xfId="121"/>
    <cellStyle name="_KT (2)_2_TG-TH_BANG TONG HOP TINH HINH THANH QUYET TOAN (MOI I)" xfId="122"/>
    <cellStyle name="_KT (2)_2_TG-TH_BAO CAO KLCT PT2000" xfId="123"/>
    <cellStyle name="_KT (2)_2_TG-TH_BAO CAO PT2000" xfId="124"/>
    <cellStyle name="_KT (2)_2_TG-TH_BAO CAO PT2000_Book1" xfId="125"/>
    <cellStyle name="_KT (2)_2_TG-TH_Bao cao XDCB 2001 - T11 KH dieu chinh 20-11-THAI" xfId="126"/>
    <cellStyle name="_KT (2)_2_TG-TH_BAO GIA NGAY 24-10-08 (co dam)" xfId="127"/>
    <cellStyle name="_KT (2)_2_TG-TH_Biểu KH 5 năm gửi UB sửa biểu VHXH" xfId="128"/>
    <cellStyle name="_KT (2)_2_TG-TH_Book1" xfId="129"/>
    <cellStyle name="_KT (2)_2_TG-TH_Book1_1" xfId="130"/>
    <cellStyle name="_KT (2)_2_TG-TH_Book1_1_Book1" xfId="131"/>
    <cellStyle name="_KT (2)_2_TG-TH_Book1_1_DanhMucDonGiaVTTB_Dien_TAM" xfId="132"/>
    <cellStyle name="_KT (2)_2_TG-TH_Book1_1_khoiluongbdacdoa" xfId="133"/>
    <cellStyle name="_KT (2)_2_TG-TH_Book1_2" xfId="134"/>
    <cellStyle name="_KT (2)_2_TG-TH_Book1_2_Book1" xfId="135"/>
    <cellStyle name="_KT (2)_2_TG-TH_Book1_3" xfId="136"/>
    <cellStyle name="_KT (2)_2_TG-TH_Book1_3_Book1" xfId="137"/>
    <cellStyle name="_KT (2)_2_TG-TH_Book1_3_DT truong thinh phu" xfId="138"/>
    <cellStyle name="_KT (2)_2_TG-TH_Book1_3_XL4Test5" xfId="139"/>
    <cellStyle name="_KT (2)_2_TG-TH_Book1_4" xfId="140"/>
    <cellStyle name="_KT (2)_2_TG-TH_Book1_Book1" xfId="141"/>
    <cellStyle name="_KT (2)_2_TG-TH_Book1_DanhMucDonGiaVTTB_Dien_TAM" xfId="142"/>
    <cellStyle name="_KT (2)_2_TG-TH_Book1_khoiluongbdacdoa" xfId="143"/>
    <cellStyle name="_KT (2)_2_TG-TH_Book1_Kiem Tra Don Gia" xfId="144"/>
    <cellStyle name="_KT (2)_2_TG-TH_Book1_Tong hop 3 tinh (11_5)-TTH-QN-QT" xfId="145"/>
    <cellStyle name="_KT (2)_2_TG-TH_Book1_" xfId="146"/>
    <cellStyle name="_KT (2)_2_TG-TH_CAU Khanh Nam(Thi Cong)" xfId="147"/>
    <cellStyle name="_KT (2)_2_TG-TH_DAU NOI PL-CL TAI PHU LAMHC" xfId="148"/>
    <cellStyle name="_KT (2)_2_TG-TH_Dcdtoan-bcnckt " xfId="149"/>
    <cellStyle name="_KT (2)_2_TG-TH_DN_MTP" xfId="150"/>
    <cellStyle name="_KT (2)_2_TG-TH_Dongia2-2003" xfId="151"/>
    <cellStyle name="_KT (2)_2_TG-TH_Dongia2-2003_DT truong thinh phu" xfId="152"/>
    <cellStyle name="_KT (2)_2_TG-TH_DT truong thinh phu" xfId="153"/>
    <cellStyle name="_KT (2)_2_TG-TH_DTCDT MR.2N110.HOCMON.TDTOAN.CCUNG" xfId="154"/>
    <cellStyle name="_KT (2)_2_TG-TH_DTDuong dong tien -sua tham tra 2009 - luong 650" xfId="155"/>
    <cellStyle name="_KT (2)_2_TG-TH_DU TRU VAT TU" xfId="156"/>
    <cellStyle name="_KT (2)_2_TG-TH_khoiluongbdacdoa" xfId="157"/>
    <cellStyle name="_KT (2)_2_TG-TH_Kiem Tra Don Gia" xfId="158"/>
    <cellStyle name="_KT (2)_2_TG-TH_Lora-tungchau" xfId="159"/>
    <cellStyle name="_KT (2)_2_TG-TH_moi" xfId="160"/>
    <cellStyle name="_KT (2)_2_TG-TH_PGIA-phieu tham tra Kho bac" xfId="161"/>
    <cellStyle name="_KT (2)_2_TG-TH_PT02-02" xfId="162"/>
    <cellStyle name="_KT (2)_2_TG-TH_PT02-02_Book1" xfId="163"/>
    <cellStyle name="_KT (2)_2_TG-TH_PT02-03" xfId="164"/>
    <cellStyle name="_KT (2)_2_TG-TH_PT02-03_Book1" xfId="165"/>
    <cellStyle name="_KT (2)_2_TG-TH_Qt-HT3PQ1(CauKho)" xfId="166"/>
    <cellStyle name="_KT (2)_2_TG-TH_Qt-HT3PQ1(CauKho)_Book1" xfId="167"/>
    <cellStyle name="_KT (2)_2_TG-TH_Qt-HT3PQ1(CauKho)_Don gia quy 3 nam 2003 - Ban Dien Luc" xfId="168"/>
    <cellStyle name="_KT (2)_2_TG-TH_Qt-HT3PQ1(CauKho)_Kiem Tra Don Gia" xfId="169"/>
    <cellStyle name="_KT (2)_2_TG-TH_Qt-HT3PQ1(CauKho)_Kiem Tra Don Gia 2" xfId="170"/>
    <cellStyle name="_KT (2)_2_TG-TH_Qt-HT3PQ1(CauKho)_NC-VL2-2003" xfId="171"/>
    <cellStyle name="_KT (2)_2_TG-TH_Qt-HT3PQ1(CauKho)_NC-VL2-2003_1" xfId="172"/>
    <cellStyle name="_KT (2)_2_TG-TH_Qt-HT3PQ1(CauKho)_XL4Test5" xfId="173"/>
    <cellStyle name="_KT (2)_2_TG-TH_QT-LCTP-AE" xfId="174"/>
    <cellStyle name="_KT (2)_2_TG-TH_quy luong con lai nam 2004" xfId="175"/>
    <cellStyle name="_KT (2)_2_TG-TH_Sheet2" xfId="176"/>
    <cellStyle name="_KT (2)_2_TG-TH_TEL OUT 2004" xfId="177"/>
    <cellStyle name="_KT (2)_2_TG-TH_Tong hop 3 tinh (11_5)-TTH-QN-QT" xfId="178"/>
    <cellStyle name="_KT (2)_2_TG-TH_XL4Poppy" xfId="179"/>
    <cellStyle name="_KT (2)_2_TG-TH_XL4Test5" xfId="180"/>
    <cellStyle name="_KT (2)_2_TG-TH_ÿÿÿÿÿ" xfId="181"/>
    <cellStyle name="_KT (2)_2_TG-TH_" xfId="182"/>
    <cellStyle name="_KT (2)_3" xfId="183"/>
    <cellStyle name="_KT (2)_3_TG-TH" xfId="184"/>
    <cellStyle name="_KT (2)_3_TG-TH_Book1" xfId="185"/>
    <cellStyle name="_KT (2)_3_TG-TH_Book1_1" xfId="186"/>
    <cellStyle name="_KT (2)_3_TG-TH_Book1_BC-QT-WB-dthao" xfId="187"/>
    <cellStyle name="_KT (2)_3_TG-TH_Book1_Book1" xfId="188"/>
    <cellStyle name="_KT (2)_3_TG-TH_Book1_Kiem Tra Don Gia" xfId="189"/>
    <cellStyle name="_KT (2)_3_TG-TH_khoiluongbdacdoa" xfId="190"/>
    <cellStyle name="_KT (2)_3_TG-TH_Kiem Tra Don Gia" xfId="191"/>
    <cellStyle name="_KT (2)_3_TG-TH_Lora-tungchau" xfId="192"/>
    <cellStyle name="_KT (2)_3_TG-TH_Lora-tungchau_Book1" xfId="193"/>
    <cellStyle name="_KT (2)_3_TG-TH_Lora-tungchau_Kiem Tra Don Gia" xfId="194"/>
    <cellStyle name="_KT (2)_3_TG-TH_PERSONAL" xfId="195"/>
    <cellStyle name="_KT (2)_3_TG-TH_PERSONAL_Book1" xfId="196"/>
    <cellStyle name="_KT (2)_3_TG-TH_PERSONAL_HTQ.8 GD1" xfId="197"/>
    <cellStyle name="_KT (2)_3_TG-TH_PERSONAL_HTQ.8 GD1_Book1" xfId="198"/>
    <cellStyle name="_KT (2)_3_TG-TH_PERSONAL_HTQ.8 GD1_Don gia quy 3 nam 2003 - Ban Dien Luc" xfId="199"/>
    <cellStyle name="_KT (2)_3_TG-TH_PERSONAL_HTQ.8 GD1_NC-VL2-2003" xfId="200"/>
    <cellStyle name="_KT (2)_3_TG-TH_PERSONAL_HTQ.8 GD1_NC-VL2-2003_1" xfId="201"/>
    <cellStyle name="_KT (2)_3_TG-TH_PERSONAL_HTQ.8 GD1_XL4Test5" xfId="202"/>
    <cellStyle name="_KT (2)_3_TG-TH_PERSONAL_khoiluongbdacdoa" xfId="203"/>
    <cellStyle name="_KT (2)_3_TG-TH_PERSONAL_Tong hop KHCB 2001" xfId="204"/>
    <cellStyle name="_KT (2)_3_TG-TH_PERSONAL_" xfId="205"/>
    <cellStyle name="_KT (2)_3_TG-TH_Qt-HT3PQ1(CauKho)" xfId="206"/>
    <cellStyle name="_KT (2)_3_TG-TH_Qt-HT3PQ1(CauKho)_Book1" xfId="207"/>
    <cellStyle name="_KT (2)_3_TG-TH_Qt-HT3PQ1(CauKho)_Don gia quy 3 nam 2003 - Ban Dien Luc" xfId="208"/>
    <cellStyle name="_KT (2)_3_TG-TH_Qt-HT3PQ1(CauKho)_Kiem Tra Don Gia" xfId="209"/>
    <cellStyle name="_KT (2)_3_TG-TH_Qt-HT3PQ1(CauKho)_Kiem Tra Don Gia 2" xfId="210"/>
    <cellStyle name="_KT (2)_3_TG-TH_Qt-HT3PQ1(CauKho)_NC-VL2-2003" xfId="211"/>
    <cellStyle name="_KT (2)_3_TG-TH_Qt-HT3PQ1(CauKho)_NC-VL2-2003_1" xfId="212"/>
    <cellStyle name="_KT (2)_3_TG-TH_Qt-HT3PQ1(CauKho)_XL4Test5" xfId="213"/>
    <cellStyle name="_KT (2)_3_TG-TH_QT-LCTP-AE" xfId="214"/>
    <cellStyle name="_KT (2)_3_TG-TH_quy luong con lai nam 2004" xfId="215"/>
    <cellStyle name="_KT (2)_3_TG-TH_" xfId="216"/>
    <cellStyle name="_KT (2)_4" xfId="217"/>
    <cellStyle name="_KT (2)_4_BANG TONG HOP TINH HINH THANH QUYET TOAN (MOI I)" xfId="218"/>
    <cellStyle name="_KT (2)_4_BAO CAO KLCT PT2000" xfId="219"/>
    <cellStyle name="_KT (2)_4_BAO CAO PT2000" xfId="220"/>
    <cellStyle name="_KT (2)_4_BAO CAO PT2000_Book1" xfId="221"/>
    <cellStyle name="_KT (2)_4_Bao cao XDCB 2001 - T11 KH dieu chinh 20-11-THAI" xfId="222"/>
    <cellStyle name="_KT (2)_4_BAO GIA NGAY 24-10-08 (co dam)" xfId="223"/>
    <cellStyle name="_KT (2)_4_Biểu KH 5 năm gửi UB sửa biểu VHXH" xfId="224"/>
    <cellStyle name="_KT (2)_4_Book1" xfId="225"/>
    <cellStyle name="_KT (2)_4_Book1_1" xfId="226"/>
    <cellStyle name="_KT (2)_4_Book1_1_Book1" xfId="227"/>
    <cellStyle name="_KT (2)_4_Book1_1_DanhMucDonGiaVTTB_Dien_TAM" xfId="228"/>
    <cellStyle name="_KT (2)_4_Book1_1_khoiluongbdacdoa" xfId="229"/>
    <cellStyle name="_KT (2)_4_Book1_2" xfId="230"/>
    <cellStyle name="_KT (2)_4_Book1_2_Book1" xfId="231"/>
    <cellStyle name="_KT (2)_4_Book1_3" xfId="232"/>
    <cellStyle name="_KT (2)_4_Book1_3_Book1" xfId="233"/>
    <cellStyle name="_KT (2)_4_Book1_3_DT truong thinh phu" xfId="234"/>
    <cellStyle name="_KT (2)_4_Book1_3_XL4Test5" xfId="235"/>
    <cellStyle name="_KT (2)_4_Book1_4" xfId="236"/>
    <cellStyle name="_KT (2)_4_Book1_Book1" xfId="237"/>
    <cellStyle name="_KT (2)_4_Book1_DanhMucDonGiaVTTB_Dien_TAM" xfId="238"/>
    <cellStyle name="_KT (2)_4_Book1_khoiluongbdacdoa" xfId="239"/>
    <cellStyle name="_KT (2)_4_Book1_Kiem Tra Don Gia" xfId="240"/>
    <cellStyle name="_KT (2)_4_Book1_Tong hop 3 tinh (11_5)-TTH-QN-QT" xfId="241"/>
    <cellStyle name="_KT (2)_4_Book1_" xfId="242"/>
    <cellStyle name="_KT (2)_4_CAU Khanh Nam(Thi Cong)" xfId="243"/>
    <cellStyle name="_KT (2)_4_DAU NOI PL-CL TAI PHU LAMHC" xfId="244"/>
    <cellStyle name="_KT (2)_4_Dcdtoan-bcnckt " xfId="245"/>
    <cellStyle name="_KT (2)_4_DN_MTP" xfId="246"/>
    <cellStyle name="_KT (2)_4_Dongia2-2003" xfId="247"/>
    <cellStyle name="_KT (2)_4_Dongia2-2003_DT truong thinh phu" xfId="248"/>
    <cellStyle name="_KT (2)_4_DT truong thinh phu" xfId="249"/>
    <cellStyle name="_KT (2)_4_DTCDT MR.2N110.HOCMON.TDTOAN.CCUNG" xfId="250"/>
    <cellStyle name="_KT (2)_4_DTDuong dong tien -sua tham tra 2009 - luong 650" xfId="251"/>
    <cellStyle name="_KT (2)_4_DU TRU VAT TU" xfId="252"/>
    <cellStyle name="_KT (2)_4_khoiluongbdacdoa" xfId="253"/>
    <cellStyle name="_KT (2)_4_Kiem Tra Don Gia" xfId="254"/>
    <cellStyle name="_KT (2)_4_Lora-tungchau" xfId="255"/>
    <cellStyle name="_KT (2)_4_moi" xfId="256"/>
    <cellStyle name="_KT (2)_4_PGIA-phieu tham tra Kho bac" xfId="257"/>
    <cellStyle name="_KT (2)_4_PT02-02" xfId="258"/>
    <cellStyle name="_KT (2)_4_PT02-02_Book1" xfId="259"/>
    <cellStyle name="_KT (2)_4_PT02-03" xfId="260"/>
    <cellStyle name="_KT (2)_4_PT02-03_Book1" xfId="261"/>
    <cellStyle name="_KT (2)_4_Qt-HT3PQ1(CauKho)" xfId="262"/>
    <cellStyle name="_KT (2)_4_Qt-HT3PQ1(CauKho)_Book1" xfId="263"/>
    <cellStyle name="_KT (2)_4_Qt-HT3PQ1(CauKho)_Don gia quy 3 nam 2003 - Ban Dien Luc" xfId="264"/>
    <cellStyle name="_KT (2)_4_Qt-HT3PQ1(CauKho)_Kiem Tra Don Gia" xfId="265"/>
    <cellStyle name="_KT (2)_4_Qt-HT3PQ1(CauKho)_Kiem Tra Don Gia 2" xfId="266"/>
    <cellStyle name="_KT (2)_4_Qt-HT3PQ1(CauKho)_NC-VL2-2003" xfId="267"/>
    <cellStyle name="_KT (2)_4_Qt-HT3PQ1(CauKho)_NC-VL2-2003_1" xfId="268"/>
    <cellStyle name="_KT (2)_4_Qt-HT3PQ1(CauKho)_XL4Test5" xfId="269"/>
    <cellStyle name="_KT (2)_4_QT-LCTP-AE" xfId="270"/>
    <cellStyle name="_KT (2)_4_quy luong con lai nam 2004" xfId="271"/>
    <cellStyle name="_KT (2)_4_Sheet2" xfId="272"/>
    <cellStyle name="_KT (2)_4_TEL OUT 2004" xfId="273"/>
    <cellStyle name="_KT (2)_4_TG-TH" xfId="274"/>
    <cellStyle name="_KT (2)_4_TG-TH_Book1" xfId="275"/>
    <cellStyle name="_KT (2)_4_TG-TH_DTDuong dong tien -sua tham tra 2009 - luong 650" xfId="276"/>
    <cellStyle name="_KT (2)_4_TG-TH_quy luong con lai nam 2004" xfId="277"/>
    <cellStyle name="_KT (2)_4_Tong hop 3 tinh (11_5)-TTH-QN-QT" xfId="278"/>
    <cellStyle name="_KT (2)_4_XL4Poppy" xfId="279"/>
    <cellStyle name="_KT (2)_4_XL4Test5" xfId="280"/>
    <cellStyle name="_KT (2)_4_ÿÿÿÿÿ" xfId="281"/>
    <cellStyle name="_KT (2)_4_" xfId="282"/>
    <cellStyle name="_KT (2)_5" xfId="283"/>
    <cellStyle name="_KT (2)_5_BANG TONG HOP TINH HINH THANH QUYET TOAN (MOI I)" xfId="284"/>
    <cellStyle name="_KT (2)_5_BAO CAO KLCT PT2000" xfId="285"/>
    <cellStyle name="_KT (2)_5_BAO CAO PT2000" xfId="286"/>
    <cellStyle name="_KT (2)_5_BAO CAO PT2000_Book1" xfId="287"/>
    <cellStyle name="_KT (2)_5_Bao cao XDCB 2001 - T11 KH dieu chinh 20-11-THAI" xfId="288"/>
    <cellStyle name="_KT (2)_5_BAO GIA NGAY 24-10-08 (co dam)" xfId="289"/>
    <cellStyle name="_KT (2)_5_Biểu KH 5 năm gửi UB sửa biểu VHXH" xfId="290"/>
    <cellStyle name="_KT (2)_5_Book1" xfId="291"/>
    <cellStyle name="_KT (2)_5_Book1_1" xfId="292"/>
    <cellStyle name="_KT (2)_5_Book1_1_Book1" xfId="293"/>
    <cellStyle name="_KT (2)_5_Book1_1_DanhMucDonGiaVTTB_Dien_TAM" xfId="294"/>
    <cellStyle name="_KT (2)_5_Book1_1_khoiluongbdacdoa" xfId="295"/>
    <cellStyle name="_KT (2)_5_Book1_2" xfId="296"/>
    <cellStyle name="_KT (2)_5_Book1_2_Book1" xfId="297"/>
    <cellStyle name="_KT (2)_5_Book1_3" xfId="298"/>
    <cellStyle name="_KT (2)_5_Book1_3_Book1" xfId="299"/>
    <cellStyle name="_KT (2)_5_Book1_3_DT truong thinh phu" xfId="300"/>
    <cellStyle name="_KT (2)_5_Book1_3_XL4Test5" xfId="301"/>
    <cellStyle name="_KT (2)_5_Book1_4" xfId="302"/>
    <cellStyle name="_KT (2)_5_Book1_BC-QT-WB-dthao" xfId="303"/>
    <cellStyle name="_KT (2)_5_Book1_Book1" xfId="304"/>
    <cellStyle name="_KT (2)_5_Book1_DanhMucDonGiaVTTB_Dien_TAM" xfId="305"/>
    <cellStyle name="_KT (2)_5_Book1_khoiluongbdacdoa" xfId="306"/>
    <cellStyle name="_KT (2)_5_Book1_Kiem Tra Don Gia" xfId="307"/>
    <cellStyle name="_KT (2)_5_Book1_Tong hop 3 tinh (11_5)-TTH-QN-QT" xfId="308"/>
    <cellStyle name="_KT (2)_5_Book1_" xfId="309"/>
    <cellStyle name="_KT (2)_5_CAU Khanh Nam(Thi Cong)" xfId="310"/>
    <cellStyle name="_KT (2)_5_DAU NOI PL-CL TAI PHU LAMHC" xfId="311"/>
    <cellStyle name="_KT (2)_5_Dcdtoan-bcnckt " xfId="312"/>
    <cellStyle name="_KT (2)_5_DN_MTP" xfId="313"/>
    <cellStyle name="_KT (2)_5_Dongia2-2003" xfId="314"/>
    <cellStyle name="_KT (2)_5_Dongia2-2003_DT truong thinh phu" xfId="315"/>
    <cellStyle name="_KT (2)_5_DT truong thinh phu" xfId="316"/>
    <cellStyle name="_KT (2)_5_DTCDT MR.2N110.HOCMON.TDTOAN.CCUNG" xfId="317"/>
    <cellStyle name="_KT (2)_5_DTDuong dong tien -sua tham tra 2009 - luong 650" xfId="318"/>
    <cellStyle name="_KT (2)_5_DU TRU VAT TU" xfId="319"/>
    <cellStyle name="_KT (2)_5_khoiluongbdacdoa" xfId="320"/>
    <cellStyle name="_KT (2)_5_Kiem Tra Don Gia" xfId="321"/>
    <cellStyle name="_KT (2)_5_Lora-tungchau" xfId="322"/>
    <cellStyle name="_KT (2)_5_moi" xfId="323"/>
    <cellStyle name="_KT (2)_5_PGIA-phieu tham tra Kho bac" xfId="324"/>
    <cellStyle name="_KT (2)_5_PT02-02" xfId="325"/>
    <cellStyle name="_KT (2)_5_PT02-02_Book1" xfId="326"/>
    <cellStyle name="_KT (2)_5_PT02-03" xfId="327"/>
    <cellStyle name="_KT (2)_5_PT02-03_Book1" xfId="328"/>
    <cellStyle name="_KT (2)_5_Qt-HT3PQ1(CauKho)" xfId="329"/>
    <cellStyle name="_KT (2)_5_Qt-HT3PQ1(CauKho)_Book1" xfId="330"/>
    <cellStyle name="_KT (2)_5_Qt-HT3PQ1(CauKho)_Don gia quy 3 nam 2003 - Ban Dien Luc" xfId="331"/>
    <cellStyle name="_KT (2)_5_Qt-HT3PQ1(CauKho)_Kiem Tra Don Gia" xfId="332"/>
    <cellStyle name="_KT (2)_5_Qt-HT3PQ1(CauKho)_Kiem Tra Don Gia 2" xfId="333"/>
    <cellStyle name="_KT (2)_5_Qt-HT3PQ1(CauKho)_NC-VL2-2003" xfId="334"/>
    <cellStyle name="_KT (2)_5_Qt-HT3PQ1(CauKho)_NC-VL2-2003_1" xfId="335"/>
    <cellStyle name="_KT (2)_5_Qt-HT3PQ1(CauKho)_XL4Test5" xfId="336"/>
    <cellStyle name="_KT (2)_5_QT-LCTP-AE" xfId="337"/>
    <cellStyle name="_KT (2)_5_Sheet2" xfId="338"/>
    <cellStyle name="_KT (2)_5_TEL OUT 2004" xfId="339"/>
    <cellStyle name="_KT (2)_5_Tong hop 3 tinh (11_5)-TTH-QN-QT" xfId="340"/>
    <cellStyle name="_KT (2)_5_XL4Poppy" xfId="341"/>
    <cellStyle name="_KT (2)_5_XL4Test5" xfId="342"/>
    <cellStyle name="_KT (2)_5_ÿÿÿÿÿ" xfId="343"/>
    <cellStyle name="_KT (2)_5_" xfId="344"/>
    <cellStyle name="_KT (2)_Book1" xfId="345"/>
    <cellStyle name="_KT (2)_Book1_1" xfId="346"/>
    <cellStyle name="_KT (2)_Book1_BC-QT-WB-dthao" xfId="347"/>
    <cellStyle name="_KT (2)_Book1_Book1" xfId="348"/>
    <cellStyle name="_KT (2)_Book1_Kiem Tra Don Gia" xfId="349"/>
    <cellStyle name="_KT (2)_khoiluongbdacdoa" xfId="350"/>
    <cellStyle name="_KT (2)_Kiem Tra Don Gia" xfId="351"/>
    <cellStyle name="_KT (2)_Lora-tungchau" xfId="352"/>
    <cellStyle name="_KT (2)_Lora-tungchau_Book1" xfId="353"/>
    <cellStyle name="_KT (2)_Lora-tungchau_Kiem Tra Don Gia" xfId="354"/>
    <cellStyle name="_KT (2)_PERSONAL" xfId="355"/>
    <cellStyle name="_KT (2)_PERSONAL_Book1" xfId="356"/>
    <cellStyle name="_KT (2)_PERSONAL_HTQ.8 GD1" xfId="357"/>
    <cellStyle name="_KT (2)_PERSONAL_HTQ.8 GD1_Book1" xfId="358"/>
    <cellStyle name="_KT (2)_PERSONAL_HTQ.8 GD1_Don gia quy 3 nam 2003 - Ban Dien Luc" xfId="359"/>
    <cellStyle name="_KT (2)_PERSONAL_HTQ.8 GD1_NC-VL2-2003" xfId="360"/>
    <cellStyle name="_KT (2)_PERSONAL_HTQ.8 GD1_NC-VL2-2003_1" xfId="361"/>
    <cellStyle name="_KT (2)_PERSONAL_HTQ.8 GD1_XL4Test5" xfId="362"/>
    <cellStyle name="_KT (2)_PERSONAL_khoiluongbdacdoa" xfId="363"/>
    <cellStyle name="_KT (2)_PERSONAL_Tong hop KHCB 2001" xfId="364"/>
    <cellStyle name="_KT (2)_PERSONAL_" xfId="365"/>
    <cellStyle name="_KT (2)_Qt-HT3PQ1(CauKho)" xfId="366"/>
    <cellStyle name="_KT (2)_Qt-HT3PQ1(CauKho)_Book1" xfId="367"/>
    <cellStyle name="_KT (2)_Qt-HT3PQ1(CauKho)_Don gia quy 3 nam 2003 - Ban Dien Luc" xfId="368"/>
    <cellStyle name="_KT (2)_Qt-HT3PQ1(CauKho)_Kiem Tra Don Gia" xfId="369"/>
    <cellStyle name="_KT (2)_Qt-HT3PQ1(CauKho)_Kiem Tra Don Gia 2" xfId="370"/>
    <cellStyle name="_KT (2)_Qt-HT3PQ1(CauKho)_NC-VL2-2003" xfId="371"/>
    <cellStyle name="_KT (2)_Qt-HT3PQ1(CauKho)_NC-VL2-2003_1" xfId="372"/>
    <cellStyle name="_KT (2)_Qt-HT3PQ1(CauKho)_XL4Test5" xfId="373"/>
    <cellStyle name="_KT (2)_QT-LCTP-AE" xfId="374"/>
    <cellStyle name="_KT (2)_quy luong con lai nam 2004" xfId="375"/>
    <cellStyle name="_KT (2)_TG-TH" xfId="376"/>
    <cellStyle name="_KT (2)_" xfId="377"/>
    <cellStyle name="_KT_TG" xfId="378"/>
    <cellStyle name="_KT_TG_1" xfId="379"/>
    <cellStyle name="_KT_TG_1_BANG TONG HOP TINH HINH THANH QUYET TOAN (MOI I)" xfId="380"/>
    <cellStyle name="_KT_TG_1_BAO CAO KLCT PT2000" xfId="381"/>
    <cellStyle name="_KT_TG_1_BAO CAO PT2000" xfId="382"/>
    <cellStyle name="_KT_TG_1_BAO CAO PT2000_Book1" xfId="383"/>
    <cellStyle name="_KT_TG_1_Bao cao XDCB 2001 - T11 KH dieu chinh 20-11-THAI" xfId="384"/>
    <cellStyle name="_KT_TG_1_BAO GIA NGAY 24-10-08 (co dam)" xfId="385"/>
    <cellStyle name="_KT_TG_1_Biểu KH 5 năm gửi UB sửa biểu VHXH" xfId="386"/>
    <cellStyle name="_KT_TG_1_Book1" xfId="387"/>
    <cellStyle name="_KT_TG_1_Book1_1" xfId="388"/>
    <cellStyle name="_KT_TG_1_Book1_1_Book1" xfId="389"/>
    <cellStyle name="_KT_TG_1_Book1_1_DanhMucDonGiaVTTB_Dien_TAM" xfId="390"/>
    <cellStyle name="_KT_TG_1_Book1_1_khoiluongbdacdoa" xfId="391"/>
    <cellStyle name="_KT_TG_1_Book1_2" xfId="392"/>
    <cellStyle name="_KT_TG_1_Book1_2_Book1" xfId="393"/>
    <cellStyle name="_KT_TG_1_Book1_3" xfId="394"/>
    <cellStyle name="_KT_TG_1_Book1_3_Book1" xfId="395"/>
    <cellStyle name="_KT_TG_1_Book1_3_DT truong thinh phu" xfId="396"/>
    <cellStyle name="_KT_TG_1_Book1_3_XL4Test5" xfId="397"/>
    <cellStyle name="_KT_TG_1_Book1_4" xfId="398"/>
    <cellStyle name="_KT_TG_1_Book1_BC-QT-WB-dthao" xfId="399"/>
    <cellStyle name="_KT_TG_1_Book1_Book1" xfId="400"/>
    <cellStyle name="_KT_TG_1_Book1_DanhMucDonGiaVTTB_Dien_TAM" xfId="401"/>
    <cellStyle name="_KT_TG_1_Book1_khoiluongbdacdoa" xfId="402"/>
    <cellStyle name="_KT_TG_1_Book1_Kiem Tra Don Gia" xfId="403"/>
    <cellStyle name="_KT_TG_1_Book1_Tong hop 3 tinh (11_5)-TTH-QN-QT" xfId="404"/>
    <cellStyle name="_KT_TG_1_Book1_" xfId="405"/>
    <cellStyle name="_KT_TG_1_CAU Khanh Nam(Thi Cong)" xfId="406"/>
    <cellStyle name="_KT_TG_1_DAU NOI PL-CL TAI PHU LAMHC" xfId="407"/>
    <cellStyle name="_KT_TG_1_Dcdtoan-bcnckt " xfId="408"/>
    <cellStyle name="_KT_TG_1_DN_MTP" xfId="409"/>
    <cellStyle name="_KT_TG_1_Dongia2-2003" xfId="410"/>
    <cellStyle name="_KT_TG_1_Dongia2-2003_DT truong thinh phu" xfId="411"/>
    <cellStyle name="_KT_TG_1_DT truong thinh phu" xfId="412"/>
    <cellStyle name="_KT_TG_1_DTCDT MR.2N110.HOCMON.TDTOAN.CCUNG" xfId="413"/>
    <cellStyle name="_KT_TG_1_DTDuong dong tien -sua tham tra 2009 - luong 650" xfId="414"/>
    <cellStyle name="_KT_TG_1_DU TRU VAT TU" xfId="415"/>
    <cellStyle name="_KT_TG_1_khoiluongbdacdoa" xfId="416"/>
    <cellStyle name="_KT_TG_1_Kiem Tra Don Gia" xfId="417"/>
    <cellStyle name="_KT_TG_1_Lora-tungchau" xfId="418"/>
    <cellStyle name="_KT_TG_1_moi" xfId="419"/>
    <cellStyle name="_KT_TG_1_PGIA-phieu tham tra Kho bac" xfId="420"/>
    <cellStyle name="_KT_TG_1_PT02-02" xfId="421"/>
    <cellStyle name="_KT_TG_1_PT02-02_Book1" xfId="422"/>
    <cellStyle name="_KT_TG_1_PT02-03" xfId="423"/>
    <cellStyle name="_KT_TG_1_PT02-03_Book1" xfId="424"/>
    <cellStyle name="_KT_TG_1_Qt-HT3PQ1(CauKho)" xfId="425"/>
    <cellStyle name="_KT_TG_1_Qt-HT3PQ1(CauKho)_Book1" xfId="426"/>
    <cellStyle name="_KT_TG_1_Qt-HT3PQ1(CauKho)_Don gia quy 3 nam 2003 - Ban Dien Luc" xfId="427"/>
    <cellStyle name="_KT_TG_1_Qt-HT3PQ1(CauKho)_Kiem Tra Don Gia" xfId="428"/>
    <cellStyle name="_KT_TG_1_Qt-HT3PQ1(CauKho)_Kiem Tra Don Gia 2" xfId="429"/>
    <cellStyle name="_KT_TG_1_Qt-HT3PQ1(CauKho)_NC-VL2-2003" xfId="430"/>
    <cellStyle name="_KT_TG_1_Qt-HT3PQ1(CauKho)_NC-VL2-2003_1" xfId="431"/>
    <cellStyle name="_KT_TG_1_Qt-HT3PQ1(CauKho)_XL4Test5" xfId="432"/>
    <cellStyle name="_KT_TG_1_QT-LCTP-AE" xfId="433"/>
    <cellStyle name="_KT_TG_1_Sheet2" xfId="434"/>
    <cellStyle name="_KT_TG_1_TEL OUT 2004" xfId="435"/>
    <cellStyle name="_KT_TG_1_Tong hop 3 tinh (11_5)-TTH-QN-QT" xfId="436"/>
    <cellStyle name="_KT_TG_1_XL4Poppy" xfId="437"/>
    <cellStyle name="_KT_TG_1_XL4Test5" xfId="438"/>
    <cellStyle name="_KT_TG_1_ÿÿÿÿÿ" xfId="439"/>
    <cellStyle name="_KT_TG_1_" xfId="440"/>
    <cellStyle name="_KT_TG_2" xfId="441"/>
    <cellStyle name="_KT_TG_2_BANG TONG HOP TINH HINH THANH QUYET TOAN (MOI I)" xfId="442"/>
    <cellStyle name="_KT_TG_2_BAO CAO KLCT PT2000" xfId="443"/>
    <cellStyle name="_KT_TG_2_BAO CAO PT2000" xfId="444"/>
    <cellStyle name="_KT_TG_2_BAO CAO PT2000_Book1" xfId="445"/>
    <cellStyle name="_KT_TG_2_Bao cao XDCB 2001 - T11 KH dieu chinh 20-11-THAI" xfId="446"/>
    <cellStyle name="_KT_TG_2_BAO GIA NGAY 24-10-08 (co dam)" xfId="447"/>
    <cellStyle name="_KT_TG_2_Biểu KH 5 năm gửi UB sửa biểu VHXH" xfId="448"/>
    <cellStyle name="_KT_TG_2_Book1" xfId="449"/>
    <cellStyle name="_KT_TG_2_Book1_1" xfId="450"/>
    <cellStyle name="_KT_TG_2_Book1_1_Book1" xfId="451"/>
    <cellStyle name="_KT_TG_2_Book1_1_DanhMucDonGiaVTTB_Dien_TAM" xfId="452"/>
    <cellStyle name="_KT_TG_2_Book1_1_khoiluongbdacdoa" xfId="453"/>
    <cellStyle name="_KT_TG_2_Book1_2" xfId="454"/>
    <cellStyle name="_KT_TG_2_Book1_2_Book1" xfId="455"/>
    <cellStyle name="_KT_TG_2_Book1_3" xfId="456"/>
    <cellStyle name="_KT_TG_2_Book1_3_Book1" xfId="457"/>
    <cellStyle name="_KT_TG_2_Book1_3_DT truong thinh phu" xfId="458"/>
    <cellStyle name="_KT_TG_2_Book1_3_XL4Test5" xfId="459"/>
    <cellStyle name="_KT_TG_2_Book1_4" xfId="460"/>
    <cellStyle name="_KT_TG_2_Book1_Book1" xfId="461"/>
    <cellStyle name="_KT_TG_2_Book1_DanhMucDonGiaVTTB_Dien_TAM" xfId="462"/>
    <cellStyle name="_KT_TG_2_Book1_khoiluongbdacdoa" xfId="463"/>
    <cellStyle name="_KT_TG_2_Book1_Kiem Tra Don Gia" xfId="464"/>
    <cellStyle name="_KT_TG_2_Book1_Tong hop 3 tinh (11_5)-TTH-QN-QT" xfId="465"/>
    <cellStyle name="_KT_TG_2_Book1_" xfId="466"/>
    <cellStyle name="_KT_TG_2_CAU Khanh Nam(Thi Cong)" xfId="467"/>
    <cellStyle name="_KT_TG_2_DAU NOI PL-CL TAI PHU LAMHC" xfId="468"/>
    <cellStyle name="_KT_TG_2_Dcdtoan-bcnckt " xfId="469"/>
    <cellStyle name="_KT_TG_2_DN_MTP" xfId="470"/>
    <cellStyle name="_KT_TG_2_Dongia2-2003" xfId="471"/>
    <cellStyle name="_KT_TG_2_Dongia2-2003_DT truong thinh phu" xfId="472"/>
    <cellStyle name="_KT_TG_2_DT truong thinh phu" xfId="473"/>
    <cellStyle name="_KT_TG_2_DTCDT MR.2N110.HOCMON.TDTOAN.CCUNG" xfId="474"/>
    <cellStyle name="_KT_TG_2_DTDuong dong tien -sua tham tra 2009 - luong 650" xfId="475"/>
    <cellStyle name="_KT_TG_2_DU TRU VAT TU" xfId="476"/>
    <cellStyle name="_KT_TG_2_khoiluongbdacdoa" xfId="477"/>
    <cellStyle name="_KT_TG_2_Kiem Tra Don Gia" xfId="478"/>
    <cellStyle name="_KT_TG_2_Lora-tungchau" xfId="479"/>
    <cellStyle name="_KT_TG_2_moi" xfId="480"/>
    <cellStyle name="_KT_TG_2_PGIA-phieu tham tra Kho bac" xfId="481"/>
    <cellStyle name="_KT_TG_2_PT02-02" xfId="482"/>
    <cellStyle name="_KT_TG_2_PT02-02_Book1" xfId="483"/>
    <cellStyle name="_KT_TG_2_PT02-03" xfId="484"/>
    <cellStyle name="_KT_TG_2_PT02-03_Book1" xfId="485"/>
    <cellStyle name="_KT_TG_2_Qt-HT3PQ1(CauKho)" xfId="486"/>
    <cellStyle name="_KT_TG_2_Qt-HT3PQ1(CauKho)_Book1" xfId="487"/>
    <cellStyle name="_KT_TG_2_Qt-HT3PQ1(CauKho)_Don gia quy 3 nam 2003 - Ban Dien Luc" xfId="488"/>
    <cellStyle name="_KT_TG_2_Qt-HT3PQ1(CauKho)_Kiem Tra Don Gia" xfId="489"/>
    <cellStyle name="_KT_TG_2_Qt-HT3PQ1(CauKho)_Kiem Tra Don Gia 2" xfId="490"/>
    <cellStyle name="_KT_TG_2_Qt-HT3PQ1(CauKho)_NC-VL2-2003" xfId="491"/>
    <cellStyle name="_KT_TG_2_Qt-HT3PQ1(CauKho)_NC-VL2-2003_1" xfId="492"/>
    <cellStyle name="_KT_TG_2_Qt-HT3PQ1(CauKho)_XL4Test5" xfId="493"/>
    <cellStyle name="_KT_TG_2_QT-LCTP-AE" xfId="494"/>
    <cellStyle name="_KT_TG_2_quy luong con lai nam 2004" xfId="495"/>
    <cellStyle name="_KT_TG_2_Sheet2" xfId="496"/>
    <cellStyle name="_KT_TG_2_TEL OUT 2004" xfId="497"/>
    <cellStyle name="_KT_TG_2_Tong hop 3 tinh (11_5)-TTH-QN-QT" xfId="498"/>
    <cellStyle name="_KT_TG_2_XL4Poppy" xfId="499"/>
    <cellStyle name="_KT_TG_2_XL4Test5" xfId="500"/>
    <cellStyle name="_KT_TG_2_ÿÿÿÿÿ" xfId="501"/>
    <cellStyle name="_KT_TG_2_" xfId="502"/>
    <cellStyle name="_KT_TG_3" xfId="503"/>
    <cellStyle name="_KT_TG_4" xfId="504"/>
    <cellStyle name="_KT_TG_4_Book1" xfId="505"/>
    <cellStyle name="_KT_TG_4_Lora-tungchau" xfId="506"/>
    <cellStyle name="_KT_TG_4_Qt-HT3PQ1(CauKho)" xfId="507"/>
    <cellStyle name="_KT_TG_4_Qt-HT3PQ1(CauKho)_Book1" xfId="508"/>
    <cellStyle name="_KT_TG_4_Qt-HT3PQ1(CauKho)_Don gia quy 3 nam 2003 - Ban Dien Luc" xfId="509"/>
    <cellStyle name="_KT_TG_4_Qt-HT3PQ1(CauKho)_Kiem Tra Don Gia" xfId="510"/>
    <cellStyle name="_KT_TG_4_Qt-HT3PQ1(CauKho)_Kiem Tra Don Gia 2" xfId="511"/>
    <cellStyle name="_KT_TG_4_Qt-HT3PQ1(CauKho)_NC-VL2-2003" xfId="512"/>
    <cellStyle name="_KT_TG_4_Qt-HT3PQ1(CauKho)_NC-VL2-2003_1" xfId="513"/>
    <cellStyle name="_KT_TG_4_Qt-HT3PQ1(CauKho)_XL4Test5" xfId="514"/>
    <cellStyle name="_KT_TG_4_quy luong con lai nam 2004" xfId="515"/>
    <cellStyle name="_KT_TG_4_" xfId="516"/>
    <cellStyle name="_KT_TG_Book1" xfId="517"/>
    <cellStyle name="_KT_TG_DTDuong dong tien -sua tham tra 2009 - luong 650" xfId="518"/>
    <cellStyle name="_KT_TG_quy luong con lai nam 2004" xfId="519"/>
    <cellStyle name="_Lora-tungchau" xfId="520"/>
    <cellStyle name="_Lora-tungchau_Book1" xfId="521"/>
    <cellStyle name="_Lora-tungchau_Kiem Tra Don Gia" xfId="522"/>
    <cellStyle name="_MauThanTKKT-goi7-DonGia2143(vl t7)" xfId="523"/>
    <cellStyle name="_Nhu cau von ung truoc 2011 Tha h Hoa + Nge An gui TW" xfId="524"/>
    <cellStyle name="_PERSONAL" xfId="525"/>
    <cellStyle name="_PERSONAL_Book1" xfId="526"/>
    <cellStyle name="_PERSONAL_HTQ.8 GD1" xfId="527"/>
    <cellStyle name="_PERSONAL_HTQ.8 GD1_Book1" xfId="528"/>
    <cellStyle name="_PERSONAL_HTQ.8 GD1_Don gia quy 3 nam 2003 - Ban Dien Luc" xfId="529"/>
    <cellStyle name="_PERSONAL_HTQ.8 GD1_NC-VL2-2003" xfId="530"/>
    <cellStyle name="_PERSONAL_HTQ.8 GD1_NC-VL2-2003_1" xfId="531"/>
    <cellStyle name="_PERSONAL_HTQ.8 GD1_XL4Test5" xfId="532"/>
    <cellStyle name="_PERSONAL_khoiluongbdacdoa" xfId="533"/>
    <cellStyle name="_PERSONAL_Tong hop KHCB 2001" xfId="534"/>
    <cellStyle name="_PERSONAL_" xfId="535"/>
    <cellStyle name="_Phu luc kem BC gui VP Bo (18.2)" xfId="536"/>
    <cellStyle name="_Q TOAN  SCTX QL.62 QUI I ( oanh)" xfId="537"/>
    <cellStyle name="_Q TOAN  SCTX QL.62 QUI II ( oanh)" xfId="538"/>
    <cellStyle name="_QT SCTXQL62_QT1 (Cty QL)" xfId="539"/>
    <cellStyle name="_Qt-HT3PQ1(CauKho)" xfId="540"/>
    <cellStyle name="_Qt-HT3PQ1(CauKho)_Book1" xfId="541"/>
    <cellStyle name="_Qt-HT3PQ1(CauKho)_Don gia quy 3 nam 2003 - Ban Dien Luc" xfId="542"/>
    <cellStyle name="_Qt-HT3PQ1(CauKho)_Kiem Tra Don Gia" xfId="543"/>
    <cellStyle name="_Qt-HT3PQ1(CauKho)_Kiem Tra Don Gia 2" xfId="544"/>
    <cellStyle name="_Qt-HT3PQ1(CauKho)_NC-VL2-2003" xfId="545"/>
    <cellStyle name="_Qt-HT3PQ1(CauKho)_NC-VL2-2003_1" xfId="546"/>
    <cellStyle name="_Qt-HT3PQ1(CauKho)_XL4Test5" xfId="547"/>
    <cellStyle name="_QT-LCTP-AE" xfId="548"/>
    <cellStyle name="_quy luong con lai nam 2004" xfId="549"/>
    <cellStyle name="_Sheet1" xfId="550"/>
    <cellStyle name="_Sheet2" xfId="551"/>
    <cellStyle name="_TG-TH" xfId="552"/>
    <cellStyle name="_TG-TH_1" xfId="553"/>
    <cellStyle name="_TG-TH_1_BANG TONG HOP TINH HINH THANH QUYET TOAN (MOI I)" xfId="554"/>
    <cellStyle name="_TG-TH_1_BAO CAO KLCT PT2000" xfId="555"/>
    <cellStyle name="_TG-TH_1_BAO CAO PT2000" xfId="556"/>
    <cellStyle name="_TG-TH_1_BAO CAO PT2000_Book1" xfId="557"/>
    <cellStyle name="_TG-TH_1_Bao cao XDCB 2001 - T11 KH dieu chinh 20-11-THAI" xfId="558"/>
    <cellStyle name="_TG-TH_1_BAO GIA NGAY 24-10-08 (co dam)" xfId="559"/>
    <cellStyle name="_TG-TH_1_Biểu KH 5 năm gửi UB sửa biểu VHXH" xfId="560"/>
    <cellStyle name="_TG-TH_1_Book1" xfId="561"/>
    <cellStyle name="_TG-TH_1_Book1_1" xfId="562"/>
    <cellStyle name="_TG-TH_1_Book1_1_Book1" xfId="563"/>
    <cellStyle name="_TG-TH_1_Book1_1_DanhMucDonGiaVTTB_Dien_TAM" xfId="564"/>
    <cellStyle name="_TG-TH_1_Book1_1_khoiluongbdacdoa" xfId="565"/>
    <cellStyle name="_TG-TH_1_Book1_2" xfId="566"/>
    <cellStyle name="_TG-TH_1_Book1_2_Book1" xfId="567"/>
    <cellStyle name="_TG-TH_1_Book1_3" xfId="568"/>
    <cellStyle name="_TG-TH_1_Book1_3_Book1" xfId="569"/>
    <cellStyle name="_TG-TH_1_Book1_3_DT truong thinh phu" xfId="570"/>
    <cellStyle name="_TG-TH_1_Book1_3_XL4Test5" xfId="571"/>
    <cellStyle name="_TG-TH_1_Book1_4" xfId="572"/>
    <cellStyle name="_TG-TH_1_Book1_BC-QT-WB-dthao" xfId="573"/>
    <cellStyle name="_TG-TH_1_Book1_Book1" xfId="574"/>
    <cellStyle name="_TG-TH_1_Book1_DanhMucDonGiaVTTB_Dien_TAM" xfId="575"/>
    <cellStyle name="_TG-TH_1_Book1_khoiluongbdacdoa" xfId="576"/>
    <cellStyle name="_TG-TH_1_Book1_Kiem Tra Don Gia" xfId="577"/>
    <cellStyle name="_TG-TH_1_Book1_Tong hop 3 tinh (11_5)-TTH-QN-QT" xfId="578"/>
    <cellStyle name="_TG-TH_1_Book1_" xfId="579"/>
    <cellStyle name="_TG-TH_1_CAU Khanh Nam(Thi Cong)" xfId="580"/>
    <cellStyle name="_TG-TH_1_DAU NOI PL-CL TAI PHU LAMHC" xfId="581"/>
    <cellStyle name="_TG-TH_1_Dcdtoan-bcnckt " xfId="582"/>
    <cellStyle name="_TG-TH_1_DN_MTP" xfId="583"/>
    <cellStyle name="_TG-TH_1_Dongia2-2003" xfId="584"/>
    <cellStyle name="_TG-TH_1_Dongia2-2003_DT truong thinh phu" xfId="585"/>
    <cellStyle name="_TG-TH_1_DT truong thinh phu" xfId="586"/>
    <cellStyle name="_TG-TH_1_DTCDT MR.2N110.HOCMON.TDTOAN.CCUNG" xfId="587"/>
    <cellStyle name="_TG-TH_1_DTDuong dong tien -sua tham tra 2009 - luong 650" xfId="588"/>
    <cellStyle name="_TG-TH_1_DU TRU VAT TU" xfId="589"/>
    <cellStyle name="_TG-TH_1_khoiluongbdacdoa" xfId="590"/>
    <cellStyle name="_TG-TH_1_Kiem Tra Don Gia" xfId="591"/>
    <cellStyle name="_TG-TH_1_Lora-tungchau" xfId="592"/>
    <cellStyle name="_TG-TH_1_moi" xfId="593"/>
    <cellStyle name="_TG-TH_1_PGIA-phieu tham tra Kho bac" xfId="594"/>
    <cellStyle name="_TG-TH_1_PT02-02" xfId="595"/>
    <cellStyle name="_TG-TH_1_PT02-02_Book1" xfId="596"/>
    <cellStyle name="_TG-TH_1_PT02-03" xfId="597"/>
    <cellStyle name="_TG-TH_1_PT02-03_Book1" xfId="598"/>
    <cellStyle name="_TG-TH_1_Qt-HT3PQ1(CauKho)" xfId="599"/>
    <cellStyle name="_TG-TH_1_Qt-HT3PQ1(CauKho)_Book1" xfId="600"/>
    <cellStyle name="_TG-TH_1_Qt-HT3PQ1(CauKho)_Don gia quy 3 nam 2003 - Ban Dien Luc" xfId="601"/>
    <cellStyle name="_TG-TH_1_Qt-HT3PQ1(CauKho)_Kiem Tra Don Gia" xfId="602"/>
    <cellStyle name="_TG-TH_1_Qt-HT3PQ1(CauKho)_Kiem Tra Don Gia 2" xfId="603"/>
    <cellStyle name="_TG-TH_1_Qt-HT3PQ1(CauKho)_NC-VL2-2003" xfId="604"/>
    <cellStyle name="_TG-TH_1_Qt-HT3PQ1(CauKho)_NC-VL2-2003_1" xfId="605"/>
    <cellStyle name="_TG-TH_1_Qt-HT3PQ1(CauKho)_XL4Test5" xfId="606"/>
    <cellStyle name="_TG-TH_1_QT-LCTP-AE" xfId="607"/>
    <cellStyle name="_TG-TH_1_Sheet2" xfId="608"/>
    <cellStyle name="_TG-TH_1_TEL OUT 2004" xfId="609"/>
    <cellStyle name="_TG-TH_1_Tong hop 3 tinh (11_5)-TTH-QN-QT" xfId="610"/>
    <cellStyle name="_TG-TH_1_XL4Poppy" xfId="611"/>
    <cellStyle name="_TG-TH_1_XL4Test5" xfId="612"/>
    <cellStyle name="_TG-TH_1_ÿÿÿÿÿ" xfId="613"/>
    <cellStyle name="_TG-TH_1_" xfId="614"/>
    <cellStyle name="_TG-TH_2" xfId="615"/>
    <cellStyle name="_TG-TH_2_BANG TONG HOP TINH HINH THANH QUYET TOAN (MOI I)" xfId="616"/>
    <cellStyle name="_TG-TH_2_BAO CAO KLCT PT2000" xfId="617"/>
    <cellStyle name="_TG-TH_2_BAO CAO PT2000" xfId="618"/>
    <cellStyle name="_TG-TH_2_BAO CAO PT2000_Book1" xfId="619"/>
    <cellStyle name="_TG-TH_2_Bao cao XDCB 2001 - T11 KH dieu chinh 20-11-THAI" xfId="620"/>
    <cellStyle name="_TG-TH_2_BAO GIA NGAY 24-10-08 (co dam)" xfId="621"/>
    <cellStyle name="_TG-TH_2_Biểu KH 5 năm gửi UB sửa biểu VHXH" xfId="622"/>
    <cellStyle name="_TG-TH_2_Book1" xfId="623"/>
    <cellStyle name="_TG-TH_2_Book1_1" xfId="624"/>
    <cellStyle name="_TG-TH_2_Book1_1_Book1" xfId="625"/>
    <cellStyle name="_TG-TH_2_Book1_1_DanhMucDonGiaVTTB_Dien_TAM" xfId="626"/>
    <cellStyle name="_TG-TH_2_Book1_1_khoiluongbdacdoa" xfId="627"/>
    <cellStyle name="_TG-TH_2_Book1_2" xfId="628"/>
    <cellStyle name="_TG-TH_2_Book1_2_Book1" xfId="629"/>
    <cellStyle name="_TG-TH_2_Book1_3" xfId="630"/>
    <cellStyle name="_TG-TH_2_Book1_3_Book1" xfId="631"/>
    <cellStyle name="_TG-TH_2_Book1_3_DT truong thinh phu" xfId="632"/>
    <cellStyle name="_TG-TH_2_Book1_3_XL4Test5" xfId="633"/>
    <cellStyle name="_TG-TH_2_Book1_4" xfId="634"/>
    <cellStyle name="_TG-TH_2_Book1_Book1" xfId="635"/>
    <cellStyle name="_TG-TH_2_Book1_DanhMucDonGiaVTTB_Dien_TAM" xfId="636"/>
    <cellStyle name="_TG-TH_2_Book1_khoiluongbdacdoa" xfId="637"/>
    <cellStyle name="_TG-TH_2_Book1_Kiem Tra Don Gia" xfId="638"/>
    <cellStyle name="_TG-TH_2_Book1_Tong hop 3 tinh (11_5)-TTH-QN-QT" xfId="639"/>
    <cellStyle name="_TG-TH_2_Book1_" xfId="640"/>
    <cellStyle name="_TG-TH_2_CAU Khanh Nam(Thi Cong)" xfId="641"/>
    <cellStyle name="_TG-TH_2_DAU NOI PL-CL TAI PHU LAMHC" xfId="642"/>
    <cellStyle name="_TG-TH_2_Dcdtoan-bcnckt " xfId="643"/>
    <cellStyle name="_TG-TH_2_DN_MTP" xfId="644"/>
    <cellStyle name="_TG-TH_2_Dongia2-2003" xfId="645"/>
    <cellStyle name="_TG-TH_2_Dongia2-2003_DT truong thinh phu" xfId="646"/>
    <cellStyle name="_TG-TH_2_DT truong thinh phu" xfId="647"/>
    <cellStyle name="_TG-TH_2_DTCDT MR.2N110.HOCMON.TDTOAN.CCUNG" xfId="648"/>
    <cellStyle name="_TG-TH_2_DTDuong dong tien -sua tham tra 2009 - luong 650" xfId="649"/>
    <cellStyle name="_TG-TH_2_DU TRU VAT TU" xfId="650"/>
    <cellStyle name="_TG-TH_2_khoiluongbdacdoa" xfId="651"/>
    <cellStyle name="_TG-TH_2_Kiem Tra Don Gia" xfId="652"/>
    <cellStyle name="_TG-TH_2_Lora-tungchau" xfId="653"/>
    <cellStyle name="_TG-TH_2_moi" xfId="654"/>
    <cellStyle name="_TG-TH_2_PGIA-phieu tham tra Kho bac" xfId="655"/>
    <cellStyle name="_TG-TH_2_PT02-02" xfId="656"/>
    <cellStyle name="_TG-TH_2_PT02-02_Book1" xfId="657"/>
    <cellStyle name="_TG-TH_2_PT02-03" xfId="658"/>
    <cellStyle name="_TG-TH_2_PT02-03_Book1" xfId="659"/>
    <cellStyle name="_TG-TH_2_Qt-HT3PQ1(CauKho)" xfId="660"/>
    <cellStyle name="_TG-TH_2_Qt-HT3PQ1(CauKho)_Book1" xfId="661"/>
    <cellStyle name="_TG-TH_2_Qt-HT3PQ1(CauKho)_Don gia quy 3 nam 2003 - Ban Dien Luc" xfId="662"/>
    <cellStyle name="_TG-TH_2_Qt-HT3PQ1(CauKho)_Kiem Tra Don Gia" xfId="663"/>
    <cellStyle name="_TG-TH_2_Qt-HT3PQ1(CauKho)_Kiem Tra Don Gia 2" xfId="664"/>
    <cellStyle name="_TG-TH_2_Qt-HT3PQ1(CauKho)_NC-VL2-2003" xfId="665"/>
    <cellStyle name="_TG-TH_2_Qt-HT3PQ1(CauKho)_NC-VL2-2003_1" xfId="666"/>
    <cellStyle name="_TG-TH_2_Qt-HT3PQ1(CauKho)_XL4Test5" xfId="667"/>
    <cellStyle name="_TG-TH_2_QT-LCTP-AE" xfId="668"/>
    <cellStyle name="_TG-TH_2_quy luong con lai nam 2004" xfId="669"/>
    <cellStyle name="_TG-TH_2_Sheet2" xfId="670"/>
    <cellStyle name="_TG-TH_2_TEL OUT 2004" xfId="671"/>
    <cellStyle name="_TG-TH_2_Tong hop 3 tinh (11_5)-TTH-QN-QT" xfId="672"/>
    <cellStyle name="_TG-TH_2_XL4Poppy" xfId="673"/>
    <cellStyle name="_TG-TH_2_XL4Test5" xfId="674"/>
    <cellStyle name="_TG-TH_2_ÿÿÿÿÿ" xfId="675"/>
    <cellStyle name="_TG-TH_2_" xfId="676"/>
    <cellStyle name="_TG-TH_3" xfId="677"/>
    <cellStyle name="_TG-TH_3_Book1" xfId="678"/>
    <cellStyle name="_TG-TH_3_Lora-tungchau" xfId="679"/>
    <cellStyle name="_TG-TH_3_Qt-HT3PQ1(CauKho)" xfId="680"/>
    <cellStyle name="_TG-TH_3_Qt-HT3PQ1(CauKho)_Book1" xfId="681"/>
    <cellStyle name="_TG-TH_3_Qt-HT3PQ1(CauKho)_Don gia quy 3 nam 2003 - Ban Dien Luc" xfId="682"/>
    <cellStyle name="_TG-TH_3_Qt-HT3PQ1(CauKho)_Kiem Tra Don Gia" xfId="683"/>
    <cellStyle name="_TG-TH_3_Qt-HT3PQ1(CauKho)_Kiem Tra Don Gia 2" xfId="684"/>
    <cellStyle name="_TG-TH_3_Qt-HT3PQ1(CauKho)_NC-VL2-2003" xfId="685"/>
    <cellStyle name="_TG-TH_3_Qt-HT3PQ1(CauKho)_NC-VL2-2003_1" xfId="686"/>
    <cellStyle name="_TG-TH_3_Qt-HT3PQ1(CauKho)_XL4Test5" xfId="687"/>
    <cellStyle name="_TG-TH_3_quy luong con lai nam 2004" xfId="688"/>
    <cellStyle name="_TG-TH_3_" xfId="689"/>
    <cellStyle name="_TG-TH_4" xfId="690"/>
    <cellStyle name="_TG-TH_4_Book1" xfId="691"/>
    <cellStyle name="_TG-TH_4_DTDuong dong tien -sua tham tra 2009 - luong 650" xfId="692"/>
    <cellStyle name="_TG-TH_4_quy luong con lai nam 2004" xfId="693"/>
    <cellStyle name="_TH KHAI TOAN THU THIEM cac tuyen TT noi" xfId="694"/>
    <cellStyle name="_TKP" xfId="695"/>
    <cellStyle name="_Tong dutoan PP LAHAI" xfId="696"/>
    <cellStyle name="_Tong hop 3 tinh (11_5)-TTH-QN-QT" xfId="697"/>
    <cellStyle name="_Tong hop may cheu nganh 1" xfId="698"/>
    <cellStyle name="_ung 2011 - 11-6-Thanh hoa-Nghe an" xfId="699"/>
    <cellStyle name="_ung truoc 2011 NSTW Thanh Hoa + Nge An gui Thu 12-5" xfId="700"/>
    <cellStyle name="_ung truoc cua long an (6-5-2010)" xfId="701"/>
    <cellStyle name="_ung von chinh thuc doan kiem tra TAY NAM BO" xfId="702"/>
    <cellStyle name="_Ung von nam 2011 vung TNB - Doan Cong tac (12-5-2010)" xfId="703"/>
    <cellStyle name="_Ung von nam 2011 vung TNB - Doan Cong tac (12-5-2010)_Copy of ghep 3 bieu trinh LD BO 28-6 (TPCP)" xfId="704"/>
    <cellStyle name="_ÿÿÿÿÿ" xfId="705"/>
    <cellStyle name="_ÿÿÿÿÿ_Kh ql62 (2010) 11-09" xfId="706"/>
    <cellStyle name="_" xfId="707"/>
    <cellStyle name="_ 2" xfId="708"/>
    <cellStyle name="__1" xfId="709"/>
    <cellStyle name="__1 2" xfId="710"/>
    <cellStyle name="__Bao gia TB Kon Dao 2010" xfId="711"/>
    <cellStyle name="~1" xfId="712"/>
    <cellStyle name="’Ê‰Ý [0.00]_laroux" xfId="713"/>
    <cellStyle name="’Ê‰Ý_laroux" xfId="714"/>
    <cellStyle name="•W?_Format" xfId="715"/>
    <cellStyle name="•W€_¯–ì" xfId="716"/>
    <cellStyle name="•W_¯–ì" xfId="717"/>
    <cellStyle name="W_MARINE" xfId="718"/>
    <cellStyle name="0" xfId="719"/>
    <cellStyle name="0.0" xfId="720"/>
    <cellStyle name="0.00" xfId="721"/>
    <cellStyle name="1" xfId="722"/>
    <cellStyle name="1_17 bieu (hung cap nhap)" xfId="723"/>
    <cellStyle name="1_2-Ha GiangBB2011-V1" xfId="724"/>
    <cellStyle name="1_50-BB Vung tau 2011" xfId="725"/>
    <cellStyle name="1_52-Long An2011.BB-V1" xfId="726"/>
    <cellStyle name="1_7 noi 48 goi C5 9 vi na" xfId="727"/>
    <cellStyle name="1_BANG KE VAT TU" xfId="728"/>
    <cellStyle name="1_Bao cao doan cong tac cua Bo thang 4-2010" xfId="729"/>
    <cellStyle name="1_Bao cao giai ngan von dau tu nam 2009 (theo doi)" xfId="730"/>
    <cellStyle name="1_Bao cao giai ngan von dau tu nam 2009 (theo doi)_Bao cao doan cong tac cua Bo thang 4-2010" xfId="731"/>
    <cellStyle name="1_Bao cao giai ngan von dau tu nam 2009 (theo doi)_Ke hoach 2009 (theo doi) -1" xfId="732"/>
    <cellStyle name="1_Bao cao KP tu chu" xfId="733"/>
    <cellStyle name="1_BAO GIA NGAY 24-10-08 (co dam)" xfId="734"/>
    <cellStyle name="1_Bao gia TB Kon Dao 2010" xfId="735"/>
    <cellStyle name="1_BC 8 thang 2009 ve CT trong diem 5nam" xfId="736"/>
    <cellStyle name="1_BC 8 thang 2009 ve CT trong diem 5nam_Bao cao doan cong tac cua Bo thang 4-2010" xfId="737"/>
    <cellStyle name="1_BC 8 thang 2009 ve CT trong diem 5nam_bieu 01" xfId="738"/>
    <cellStyle name="1_BC 8 thang 2009 ve CT trong diem 5nam_bieu 01_Bao cao doan cong tac cua Bo thang 4-2010" xfId="739"/>
    <cellStyle name="1_BC nam 2007 (UB)" xfId="740"/>
    <cellStyle name="1_BC nam 2007 (UB)_Bao cao doan cong tac cua Bo thang 4-2010" xfId="741"/>
    <cellStyle name="1_bieu 1" xfId="742"/>
    <cellStyle name="1_bieu 2" xfId="743"/>
    <cellStyle name="1_bieu 4" xfId="744"/>
    <cellStyle name="1_bieu tong hop" xfId="745"/>
    <cellStyle name="1_Book1" xfId="746"/>
    <cellStyle name="1_Book1_1" xfId="747"/>
    <cellStyle name="1_Book1_1_VBPL kiểm toán Đầu tư XDCB 2010" xfId="748"/>
    <cellStyle name="1_Book1_Bao cao doan cong tac cua Bo thang 4-2010" xfId="749"/>
    <cellStyle name="1_Book1_BL vu" xfId="750"/>
    <cellStyle name="1_Book1_Book1" xfId="751"/>
    <cellStyle name="1_Book1_Gia - Thanh An" xfId="752"/>
    <cellStyle name="1_Book1_VBPL kiểm toán Đầu tư XDCB 2010" xfId="753"/>
    <cellStyle name="1_Book2" xfId="754"/>
    <cellStyle name="1_Book2_Bao cao doan cong tac cua Bo thang 4-2010" xfId="755"/>
    <cellStyle name="1_Cau thuy dien Ban La (Cu Anh)" xfId="756"/>
    <cellStyle name="1_Copy of ghep 3 bieu trinh LD BO 28-6 (TPCP)" xfId="757"/>
    <cellStyle name="1_Danh sach gui BC thuc hien KH2009" xfId="758"/>
    <cellStyle name="1_Danh sach gui BC thuc hien KH2009_Bao cao doan cong tac cua Bo thang 4-2010" xfId="759"/>
    <cellStyle name="1_Danh sach gui BC thuc hien KH2009_Ke hoach 2009 (theo doi) -1" xfId="760"/>
    <cellStyle name="1_Don gia Du thau ( XL19)" xfId="761"/>
    <cellStyle name="1_DT972000" xfId="762"/>
    <cellStyle name="1_dtCau Km3+429,21TL685" xfId="763"/>
    <cellStyle name="1_Dtdchinh2397" xfId="764"/>
    <cellStyle name="1_Dtdchinh2397 2" xfId="765"/>
    <cellStyle name="1_Du thau" xfId="766"/>
    <cellStyle name="1_Du toan 558 (Km17+508.12 - Km 22)" xfId="767"/>
    <cellStyle name="1_du toan lan 3" xfId="768"/>
    <cellStyle name="1_Gia - Thanh An" xfId="769"/>
    <cellStyle name="1_Gia_VLQL48_duyet " xfId="770"/>
    <cellStyle name="1_GIA-DUTHAUsuaNS" xfId="771"/>
    <cellStyle name="1_KH 2007 (theo doi)" xfId="772"/>
    <cellStyle name="1_KH 2007 (theo doi)_Bao cao doan cong tac cua Bo thang 4-2010" xfId="773"/>
    <cellStyle name="1_Kh ql62 (2010) 11-09" xfId="774"/>
    <cellStyle name="1_khoiluongbdacdoa" xfId="775"/>
    <cellStyle name="1_KL km 0-km3+300 dieu chinh 4-2008" xfId="776"/>
    <cellStyle name="1_KLNM 1303" xfId="777"/>
    <cellStyle name="1_KlQdinhduyet" xfId="778"/>
    <cellStyle name="1_LuuNgay17-03-2009Đơn KN Cục thuế" xfId="779"/>
    <cellStyle name="1_NTHOC" xfId="780"/>
    <cellStyle name="1_NTHOC_Tong hop theo doi von TPCP" xfId="781"/>
    <cellStyle name="1_NTHOC_Tong hop theo doi von TPCP_Bao cao kiem toan kh 2010" xfId="782"/>
    <cellStyle name="1_NTHOC_Tong hop theo doi von TPCP_Ke hoach 2010 (theo doi)2" xfId="783"/>
    <cellStyle name="1_NTHOC_Tong hop theo doi von TPCP_QD UBND tinh" xfId="784"/>
    <cellStyle name="1_NTHOC_Tong hop theo doi von TPCP_Worksheet in D: My Documents Luc Van ban xu ly Nam 2011 Bao cao ra soat tam ung TPCP" xfId="785"/>
    <cellStyle name="1_QT Thue GTGT 2008" xfId="786"/>
    <cellStyle name="1_Ra soat Giai ngan 2007 (dang lam)" xfId="787"/>
    <cellStyle name="1_Theo doi von TPCP (dang lam)" xfId="788"/>
    <cellStyle name="1_Thong ke cong" xfId="789"/>
    <cellStyle name="1_thong ke giao dan sinh" xfId="790"/>
    <cellStyle name="1_TonghopKL_BOY-sual2" xfId="791"/>
    <cellStyle name="1_TRUNG PMU 5" xfId="792"/>
    <cellStyle name="1_VBPL kiểm toán Đầu tư XDCB 2010" xfId="793"/>
    <cellStyle name="1_ÿÿÿÿÿ" xfId="794"/>
    <cellStyle name="1_ÿÿÿÿÿ_Bieu tong hop nhu cau ung 2011 da chon loc -Mien nui" xfId="795"/>
    <cellStyle name="1_ÿÿÿÿÿ_Kh ql62 (2010) 11-09" xfId="796"/>
    <cellStyle name="1_ÿÿÿÿÿ_mau bieu doan giam sat 2010 (version 2)" xfId="797"/>
    <cellStyle name="1_ÿÿÿÿÿ_mau bieu doan giam sat 2010 (version 2) 2" xfId="798"/>
    <cellStyle name="1_ÿÿÿÿÿ_VBPL kiểm toán Đầu tư XDCB 2010" xfId="799"/>
    <cellStyle name="1_" xfId="800"/>
    <cellStyle name="15" xfId="801"/>
    <cellStyle name="18" xfId="802"/>
    <cellStyle name="¹éºÐÀ²_      " xfId="803"/>
    <cellStyle name="2" xfId="804"/>
    <cellStyle name="2_7 noi 48 goi C5 9 vi na" xfId="805"/>
    <cellStyle name="2_BL vu" xfId="806"/>
    <cellStyle name="2_Book1" xfId="807"/>
    <cellStyle name="2_Book1_1" xfId="808"/>
    <cellStyle name="2_Book1_Bao cao kiem toan kh 2010" xfId="809"/>
    <cellStyle name="2_Book1_Ke hoach 2010 (theo doi)2" xfId="810"/>
    <cellStyle name="2_Book1_QD UBND tinh" xfId="811"/>
    <cellStyle name="2_Book1_VBPL kiểm toán Đầu tư XDCB 2010" xfId="812"/>
    <cellStyle name="2_Book1_Worksheet in D: My Documents Luc Van ban xu ly Nam 2011 Bao cao ra soat tam ung TPCP" xfId="813"/>
    <cellStyle name="2_Cau thuy dien Ban La (Cu Anh)" xfId="814"/>
    <cellStyle name="2_Dtdchinh2397" xfId="815"/>
    <cellStyle name="2_Dtdchinh2397 2" xfId="816"/>
    <cellStyle name="2_Du toan 558 (Km17+508.12 - Km 22)" xfId="817"/>
    <cellStyle name="2_Gia_VLQL48_duyet " xfId="818"/>
    <cellStyle name="2_KLNM 1303" xfId="819"/>
    <cellStyle name="2_KlQdinhduyet" xfId="820"/>
    <cellStyle name="2_NTHOC" xfId="821"/>
    <cellStyle name="2_NTHOC_Tong hop theo doi von TPCP" xfId="822"/>
    <cellStyle name="2_NTHOC_Tong hop theo doi von TPCP_Bao cao kiem toan kh 2010" xfId="823"/>
    <cellStyle name="2_NTHOC_Tong hop theo doi von TPCP_Ke hoach 2010 (theo doi)2" xfId="824"/>
    <cellStyle name="2_NTHOC_Tong hop theo doi von TPCP_QD UBND tinh" xfId="825"/>
    <cellStyle name="2_NTHOC_Tong hop theo doi von TPCP_Worksheet in D: My Documents Luc Van ban xu ly Nam 2011 Bao cao ra soat tam ung TPCP" xfId="826"/>
    <cellStyle name="2_Thong ke cong" xfId="827"/>
    <cellStyle name="2_thong ke giao dan sinh" xfId="828"/>
    <cellStyle name="2_Tong hop theo doi von TPCP" xfId="829"/>
    <cellStyle name="2_Tong hop theo doi von TPCP_Bao cao kiem toan kh 2010" xfId="830"/>
    <cellStyle name="2_Tong hop theo doi von TPCP_Ke hoach 2010 (theo doi)2" xfId="831"/>
    <cellStyle name="2_Tong hop theo doi von TPCP_QD UBND tinh" xfId="832"/>
    <cellStyle name="2_Tong hop theo doi von TPCP_Worksheet in D: My Documents Luc Van ban xu ly Nam 2011 Bao cao ra soat tam ung TPCP" xfId="833"/>
    <cellStyle name="2_TRUNG PMU 5" xfId="834"/>
    <cellStyle name="2_VBPL kiểm toán Đầu tư XDCB 2010" xfId="835"/>
    <cellStyle name="2_ÿÿÿÿÿ" xfId="836"/>
    <cellStyle name="2_ÿÿÿÿÿ_Bieu tong hop nhu cau ung 2011 da chon loc -Mien nui" xfId="837"/>
    <cellStyle name="2_ÿÿÿÿÿ_mau bieu doan giam sat 2010 (version 2)" xfId="838"/>
    <cellStyle name="2_ÿÿÿÿÿ_mau bieu doan giam sat 2010 (version 2) 2" xfId="839"/>
    <cellStyle name="20" xfId="840"/>
    <cellStyle name="20 2" xfId="841"/>
    <cellStyle name="20% - Accent1 2" xfId="842"/>
    <cellStyle name="20% - Accent2 2" xfId="843"/>
    <cellStyle name="20% - Accent3 2" xfId="844"/>
    <cellStyle name="20% - Accent4 2" xfId="845"/>
    <cellStyle name="20% - Accent5 2" xfId="846"/>
    <cellStyle name="20% - Accent6 2" xfId="847"/>
    <cellStyle name="20% - Nhấn1" xfId="848"/>
    <cellStyle name="20% - Nhấn2" xfId="849"/>
    <cellStyle name="20% - Nhấn3" xfId="850"/>
    <cellStyle name="20% - Nhấn4" xfId="851"/>
    <cellStyle name="20% - Nhấn5" xfId="852"/>
    <cellStyle name="20% - Nhấn6" xfId="853"/>
    <cellStyle name="-2001" xfId="854"/>
    <cellStyle name="-2001 2" xfId="855"/>
    <cellStyle name="3" xfId="856"/>
    <cellStyle name="3_7 noi 48 goi C5 9 vi na" xfId="857"/>
    <cellStyle name="3_Book1" xfId="858"/>
    <cellStyle name="3_Book1_1" xfId="859"/>
    <cellStyle name="3_Cau thuy dien Ban La (Cu Anh)" xfId="860"/>
    <cellStyle name="3_Dtdchinh2397" xfId="861"/>
    <cellStyle name="3_Dtdchinh2397 2" xfId="862"/>
    <cellStyle name="3_Du toan 558 (Km17+508.12 - Km 22)" xfId="863"/>
    <cellStyle name="3_Gia_VLQL48_duyet " xfId="864"/>
    <cellStyle name="3_KLNM 1303" xfId="865"/>
    <cellStyle name="3_KlQdinhduyet" xfId="866"/>
    <cellStyle name="3_Thong ke cong" xfId="867"/>
    <cellStyle name="3_thong ke giao dan sinh" xfId="868"/>
    <cellStyle name="3_VBPL kiểm toán Đầu tư XDCB 2010" xfId="869"/>
    <cellStyle name="3_ÿÿÿÿÿ" xfId="870"/>
    <cellStyle name="4" xfId="871"/>
    <cellStyle name="4_7 noi 48 goi C5 9 vi na" xfId="872"/>
    <cellStyle name="4_Book1" xfId="873"/>
    <cellStyle name="4_Book1_1" xfId="874"/>
    <cellStyle name="4_Cau thuy dien Ban La (Cu Anh)" xfId="875"/>
    <cellStyle name="4_Dtdchinh2397" xfId="876"/>
    <cellStyle name="4_Dtdchinh2397 2" xfId="877"/>
    <cellStyle name="4_Du toan 558 (Km17+508.12 - Km 22)" xfId="878"/>
    <cellStyle name="4_Gia_VLQL48_duyet " xfId="879"/>
    <cellStyle name="4_KLNM 1303" xfId="880"/>
    <cellStyle name="4_KlQdinhduyet" xfId="881"/>
    <cellStyle name="4_Thong ke cong" xfId="882"/>
    <cellStyle name="4_thong ke giao dan sinh" xfId="883"/>
    <cellStyle name="4_ÿÿÿÿÿ" xfId="884"/>
    <cellStyle name="40% - Accent1 2" xfId="885"/>
    <cellStyle name="40% - Accent2 2" xfId="886"/>
    <cellStyle name="40% - Accent3 2" xfId="887"/>
    <cellStyle name="40% - Accent4 2" xfId="888"/>
    <cellStyle name="40% - Accent5 2" xfId="889"/>
    <cellStyle name="40% - Accent6 2" xfId="890"/>
    <cellStyle name="40% - Nhấn1" xfId="891"/>
    <cellStyle name="40% - Nhấn2" xfId="892"/>
    <cellStyle name="40% - Nhấn3" xfId="893"/>
    <cellStyle name="40% - Nhấn4" xfId="894"/>
    <cellStyle name="40% - Nhấn5" xfId="895"/>
    <cellStyle name="40% - Nhấn6" xfId="896"/>
    <cellStyle name="6" xfId="897"/>
    <cellStyle name="6_Bieu mau ung 2011-Mien Trung-TPCP-11-6" xfId="898"/>
    <cellStyle name="6_Copy of ghep 3 bieu trinh LD BO 28-6 (TPCP)" xfId="899"/>
    <cellStyle name="6_DTDuong dong tien -sua tham tra 2009 - luong 650" xfId="900"/>
    <cellStyle name="6_DTDuong dong tien -sua tham tra 2009 - luong 650 2" xfId="901"/>
    <cellStyle name="6_Nhu cau tam ung NSNN&amp;TPCP&amp;ODA theo tieu chi cua Bo (CV410_BKH-TH)_vung Tay Nguyen (11.6.2010)" xfId="902"/>
    <cellStyle name="60% - Accent1 2" xfId="903"/>
    <cellStyle name="60% - Accent2 2" xfId="904"/>
    <cellStyle name="60% - Accent3 2" xfId="905"/>
    <cellStyle name="60% - Accent4 2" xfId="906"/>
    <cellStyle name="60% - Accent5 2" xfId="907"/>
    <cellStyle name="60% - Accent6 2" xfId="908"/>
    <cellStyle name="60% - Nhấn1" xfId="909"/>
    <cellStyle name="60% - Nhấn2" xfId="910"/>
    <cellStyle name="60% - Nhấn3" xfId="911"/>
    <cellStyle name="60% - Nhấn4" xfId="912"/>
    <cellStyle name="60% - Nhấn5" xfId="913"/>
    <cellStyle name="60% - Nhấn6" xfId="914"/>
    <cellStyle name="9" xfId="915"/>
    <cellStyle name="Accent1 2" xfId="916"/>
    <cellStyle name="Accent2 2" xfId="917"/>
    <cellStyle name="Accent3 2" xfId="918"/>
    <cellStyle name="Accent4 2" xfId="919"/>
    <cellStyle name="Accent5 2" xfId="920"/>
    <cellStyle name="Accent6 2" xfId="921"/>
    <cellStyle name="ÅëÈ­ [0]_      " xfId="922"/>
    <cellStyle name="AeE­ [0]_INQUIRY ¿?¾÷AßAø " xfId="923"/>
    <cellStyle name="ÅëÈ­ [0]_laroux" xfId="924"/>
    <cellStyle name="ÅëÈ­_      " xfId="925"/>
    <cellStyle name="AeE­_INQUIRY ¿?¾÷AßAø " xfId="926"/>
    <cellStyle name="ÅëÈ­_laroux" xfId="927"/>
    <cellStyle name="args.style" xfId="928"/>
    <cellStyle name="args.style 2" xfId="929"/>
    <cellStyle name="at" xfId="930"/>
    <cellStyle name="ÄÞ¸¶ [0]_      " xfId="931"/>
    <cellStyle name="AÞ¸¶ [0]_INQUIRY ¿?¾÷AßAø " xfId="932"/>
    <cellStyle name="ÄÞ¸¶ [0]_L601CPT" xfId="933"/>
    <cellStyle name="ÄÞ¸¶_      " xfId="934"/>
    <cellStyle name="AÞ¸¶_INQUIRY ¿?¾÷AßAø " xfId="935"/>
    <cellStyle name="ÄÞ¸¶_L601CPT" xfId="936"/>
    <cellStyle name="AutoFormat Options" xfId="937"/>
    <cellStyle name="AutoFormat-Optionen" xfId="1"/>
    <cellStyle name="AutoFormat-Optionen 2" xfId="938"/>
    <cellStyle name="AutoFormat-Optionen 2 2" xfId="2"/>
    <cellStyle name="Bad 2" xfId="939"/>
    <cellStyle name="Body" xfId="940"/>
    <cellStyle name="C?AØ_¿?¾÷CoE² " xfId="941"/>
    <cellStyle name="C~1" xfId="942"/>
    <cellStyle name="Ç¥ÁØ_      " xfId="943"/>
    <cellStyle name="C￥AØ_¿μ¾÷CoE² " xfId="944"/>
    <cellStyle name="Ç¥ÁØ_±³°¢¼ö·®" xfId="945"/>
    <cellStyle name="C￥AØ_Sheet1_¿μ¾÷CoE² " xfId="946"/>
    <cellStyle name="Calc Currency (0)" xfId="947"/>
    <cellStyle name="Calc Currency (0) 2" xfId="948"/>
    <cellStyle name="Calc Currency (2)" xfId="949"/>
    <cellStyle name="Calc Percent (0)" xfId="950"/>
    <cellStyle name="Calc Percent (1)" xfId="951"/>
    <cellStyle name="Calc Percent (2)" xfId="952"/>
    <cellStyle name="Calc Percent (2) 2" xfId="953"/>
    <cellStyle name="Calc Units (0)" xfId="954"/>
    <cellStyle name="Calc Units (1)" xfId="955"/>
    <cellStyle name="Calc Units (2)" xfId="956"/>
    <cellStyle name="Calculation 2" xfId="957"/>
    <cellStyle name="category" xfId="958"/>
    <cellStyle name="Cerrency_Sheet2_XANGDAU" xfId="959"/>
    <cellStyle name="Check Cell 2" xfId="960"/>
    <cellStyle name="Chi phÝ kh¸c_Book1" xfId="961"/>
    <cellStyle name="chu" xfId="962"/>
    <cellStyle name="Chuẩn 3" xfId="963"/>
    <cellStyle name="CHUONG" xfId="964"/>
    <cellStyle name="Co?ma_Sheet1" xfId="965"/>
    <cellStyle name="Comma" xfId="3" builtinId="3"/>
    <cellStyle name="Comma  - Style1" xfId="966"/>
    <cellStyle name="Comma  - Style2" xfId="967"/>
    <cellStyle name="Comma  - Style3" xfId="968"/>
    <cellStyle name="Comma  - Style4" xfId="969"/>
    <cellStyle name="Comma  - Style5" xfId="970"/>
    <cellStyle name="Comma  - Style6" xfId="971"/>
    <cellStyle name="Comma  - Style7" xfId="972"/>
    <cellStyle name="Comma  - Style8" xfId="973"/>
    <cellStyle name="Comma [0] 11" xfId="974"/>
    <cellStyle name="Comma [0] 2" xfId="975"/>
    <cellStyle name="Comma [0] 3" xfId="976"/>
    <cellStyle name="Comma [0] 4" xfId="977"/>
    <cellStyle name="Comma [0] 4 2 2 2" xfId="978"/>
    <cellStyle name="Comma [0] 4 2 2 2 2" xfId="979"/>
    <cellStyle name="Comma [0] 4 3 2" xfId="980"/>
    <cellStyle name="Comma [0] 5" xfId="981"/>
    <cellStyle name="Comma [00]" xfId="982"/>
    <cellStyle name="Comma 10" xfId="4"/>
    <cellStyle name="Comma 10 10" xfId="983"/>
    <cellStyle name="Comma 10 2" xfId="5"/>
    <cellStyle name="Comma 10 3" xfId="984"/>
    <cellStyle name="Comma 11" xfId="985"/>
    <cellStyle name="Comma 12" xfId="986"/>
    <cellStyle name="Comma 14" xfId="987"/>
    <cellStyle name="Comma 15" xfId="988"/>
    <cellStyle name="Comma 2" xfId="11"/>
    <cellStyle name="Comma 2 2" xfId="19"/>
    <cellStyle name="Comma 2 2 2" xfId="989"/>
    <cellStyle name="Comma 2 2 3" xfId="990"/>
    <cellStyle name="Comma 2 2 4" xfId="991"/>
    <cellStyle name="Comma 2 28" xfId="992"/>
    <cellStyle name="Comma 2 3" xfId="993"/>
    <cellStyle name="Comma 2 4" xfId="994"/>
    <cellStyle name="Comma 2 5" xfId="995"/>
    <cellStyle name="Comma 2 7" xfId="996"/>
    <cellStyle name="Comma 2_bieu 1" xfId="997"/>
    <cellStyle name="Comma 22 3" xfId="998"/>
    <cellStyle name="Comma 23" xfId="999"/>
    <cellStyle name="Comma 24" xfId="1000"/>
    <cellStyle name="Comma 28" xfId="1001"/>
    <cellStyle name="Comma 3" xfId="1002"/>
    <cellStyle name="Comma 3 2" xfId="1003"/>
    <cellStyle name="Comma 3_BC 6 thang_Phu Luc" xfId="1004"/>
    <cellStyle name="Comma 4" xfId="1005"/>
    <cellStyle name="Comma 4 2" xfId="1006"/>
    <cellStyle name="Comma 4 20" xfId="1007"/>
    <cellStyle name="Comma 4_Bieu mau KH 2011 (gui Vu DP)" xfId="1008"/>
    <cellStyle name="Comma 40" xfId="1009"/>
    <cellStyle name="Comma 41" xfId="1010"/>
    <cellStyle name="Comma 44" xfId="1011"/>
    <cellStyle name="Comma 5" xfId="1012"/>
    <cellStyle name="Comma 5 2" xfId="1013"/>
    <cellStyle name="Comma 6" xfId="1014"/>
    <cellStyle name="Comma 7" xfId="1015"/>
    <cellStyle name="Comma 7 2" xfId="1016"/>
    <cellStyle name="Comma 8" xfId="1017"/>
    <cellStyle name="Comma 9" xfId="12"/>
    <cellStyle name="comma zerodec" xfId="1018"/>
    <cellStyle name="comma zerodec 2" xfId="1019"/>
    <cellStyle name="Comma0" xfId="1020"/>
    <cellStyle name="Comma0 - Modelo1" xfId="1021"/>
    <cellStyle name="Comma0 - Style1" xfId="1022"/>
    <cellStyle name="Comma0_Dat TP Kon Tum Ko Dung QD" xfId="1023"/>
    <cellStyle name="Comma1 - Modelo2" xfId="1024"/>
    <cellStyle name="Comma1 - Style2" xfId="1025"/>
    <cellStyle name="cong" xfId="1026"/>
    <cellStyle name="Copied" xfId="1027"/>
    <cellStyle name="Cࡵrrency_Sheet1_PRODUCTĠ" xfId="1028"/>
    <cellStyle name="Currency [00]" xfId="1029"/>
    <cellStyle name="Currency0" xfId="1030"/>
    <cellStyle name="Currency0 2" xfId="1031"/>
    <cellStyle name="Currency0 2 2" xfId="1032"/>
    <cellStyle name="Currency0 2 3" xfId="1033"/>
    <cellStyle name="Currency0 2 4" xfId="1034"/>
    <cellStyle name="Currency0 2_Khoi cong moi 1" xfId="1035"/>
    <cellStyle name="Currency0 3" xfId="1036"/>
    <cellStyle name="Currency0 4" xfId="1037"/>
    <cellStyle name="Currency0_Book1" xfId="1038"/>
    <cellStyle name="Currency1" xfId="1039"/>
    <cellStyle name="Currency1 2" xfId="1040"/>
    <cellStyle name="D1" xfId="1041"/>
    <cellStyle name="D1 2" xfId="1042"/>
    <cellStyle name="Date" xfId="1043"/>
    <cellStyle name="Date Short" xfId="1044"/>
    <cellStyle name="Date Short 2" xfId="1045"/>
    <cellStyle name="Date_17 bieu (hung cap nhap)" xfId="1046"/>
    <cellStyle name="Dấu phảy [0] 2 2" xfId="1047"/>
    <cellStyle name="Đầu ra" xfId="1048"/>
    <cellStyle name="Đầu vào" xfId="1049"/>
    <cellStyle name="DAUDE" xfId="1050"/>
    <cellStyle name="Đề mục 1" xfId="1051"/>
    <cellStyle name="Đề mục 2" xfId="1052"/>
    <cellStyle name="Đề mục 3" xfId="1053"/>
    <cellStyle name="Đề mục 4" xfId="1054"/>
    <cellStyle name="Decimal" xfId="1055"/>
    <cellStyle name="Decimal 2" xfId="1056"/>
    <cellStyle name="Decimal 3" xfId="1057"/>
    <cellStyle name="Decimal 4" xfId="1058"/>
    <cellStyle name="DELTA" xfId="1059"/>
    <cellStyle name="DELTA 2" xfId="1060"/>
    <cellStyle name="Dezimal [0]_35ERI8T2gbIEMixb4v26icuOo" xfId="1061"/>
    <cellStyle name="Dezimal_35ERI8T2gbIEMixb4v26icuOo" xfId="1062"/>
    <cellStyle name="Dg" xfId="1063"/>
    <cellStyle name="Dgia" xfId="1064"/>
    <cellStyle name="Dgia 2" xfId="1065"/>
    <cellStyle name="Dia" xfId="1066"/>
    <cellStyle name="Dollar (zero dec)" xfId="1067"/>
    <cellStyle name="Dollar (zero dec) 2" xfId="1068"/>
    <cellStyle name="Don gia" xfId="1069"/>
    <cellStyle name="Don gia 2" xfId="1070"/>
    <cellStyle name="DuToanBXD" xfId="1071"/>
    <cellStyle name="Dziesi?tny [0]_Invoices2001Slovakia" xfId="1072"/>
    <cellStyle name="Dziesi?tny_Invoices2001Slovakia" xfId="1073"/>
    <cellStyle name="Dziesietny [0]_Invoices2001Slovakia" xfId="1074"/>
    <cellStyle name="Dziesiętny [0]_Invoices2001Slovakia" xfId="1075"/>
    <cellStyle name="Dziesietny [0]_Invoices2001Slovakia_01_Nha so 1_Dien" xfId="1076"/>
    <cellStyle name="Dziesiętny [0]_Invoices2001Slovakia_01_Nha so 1_Dien" xfId="1077"/>
    <cellStyle name="Dziesietny [0]_Invoices2001Slovakia_01_Nha so 1_Dien 2" xfId="1078"/>
    <cellStyle name="Dziesiętny [0]_Invoices2001Slovakia_01_Nha so 1_Dien 2" xfId="1079"/>
    <cellStyle name="Dziesietny [0]_Invoices2001Slovakia_10_Nha so 10_Dien1" xfId="1080"/>
    <cellStyle name="Dziesiętny [0]_Invoices2001Slovakia_10_Nha so 10_Dien1" xfId="1081"/>
    <cellStyle name="Dziesietny [0]_Invoices2001Slovakia_10_Nha so 10_Dien1 2" xfId="1082"/>
    <cellStyle name="Dziesiętny [0]_Invoices2001Slovakia_10_Nha so 10_Dien1 2" xfId="1083"/>
    <cellStyle name="Dziesietny [0]_Invoices2001Slovakia_Book1" xfId="1084"/>
    <cellStyle name="Dziesiętny [0]_Invoices2001Slovakia_Book1" xfId="1085"/>
    <cellStyle name="Dziesietny [0]_Invoices2001Slovakia_Book1_1" xfId="1086"/>
    <cellStyle name="Dziesiętny [0]_Invoices2001Slovakia_Book1_1" xfId="1087"/>
    <cellStyle name="Dziesietny [0]_Invoices2001Slovakia_Book1_1 2" xfId="1088"/>
    <cellStyle name="Dziesiętny [0]_Invoices2001Slovakia_Book1_1 2" xfId="1089"/>
    <cellStyle name="Dziesietny [0]_Invoices2001Slovakia_Book1_1_Book1" xfId="1090"/>
    <cellStyle name="Dziesiętny [0]_Invoices2001Slovakia_Book1_1_Book1" xfId="1091"/>
    <cellStyle name="Dziesietny [0]_Invoices2001Slovakia_Book1_1_Book1 2" xfId="1092"/>
    <cellStyle name="Dziesiętny [0]_Invoices2001Slovakia_Book1_1_Book1 2" xfId="1093"/>
    <cellStyle name="Dziesietny [0]_Invoices2001Slovakia_Book1_2" xfId="1094"/>
    <cellStyle name="Dziesiętny [0]_Invoices2001Slovakia_Book1_2" xfId="1095"/>
    <cellStyle name="Dziesietny [0]_Invoices2001Slovakia_Book1_2 2" xfId="1096"/>
    <cellStyle name="Dziesiętny [0]_Invoices2001Slovakia_Book1_2 2" xfId="1097"/>
    <cellStyle name="Dziesietny [0]_Invoices2001Slovakia_Book1_Nhu cau von ung truoc 2011 Tha h Hoa + Nge An gui TW" xfId="1098"/>
    <cellStyle name="Dziesiętny [0]_Invoices2001Slovakia_Book1_Nhu cau von ung truoc 2011 Tha h Hoa + Nge An gui TW" xfId="1099"/>
    <cellStyle name="Dziesietny [0]_Invoices2001Slovakia_Book1_Tong hop Cac tuyen(9-1-06)" xfId="1100"/>
    <cellStyle name="Dziesiętny [0]_Invoices2001Slovakia_Book1_Tong hop Cac tuyen(9-1-06)" xfId="1101"/>
    <cellStyle name="Dziesietny [0]_Invoices2001Slovakia_Book1_ung 2011 - 11-6-Thanh hoa-Nghe an" xfId="1102"/>
    <cellStyle name="Dziesiętny [0]_Invoices2001Slovakia_Book1_ung 2011 - 11-6-Thanh hoa-Nghe an" xfId="1103"/>
    <cellStyle name="Dziesietny [0]_Invoices2001Slovakia_Book1_ung truoc 2011 NSTW Thanh Hoa + Nge An gui Thu 12-5" xfId="1104"/>
    <cellStyle name="Dziesiętny [0]_Invoices2001Slovakia_Book1_ung truoc 2011 NSTW Thanh Hoa + Nge An gui Thu 12-5" xfId="1105"/>
    <cellStyle name="Dziesietny [0]_Invoices2001Slovakia_d-uong+TDT" xfId="1106"/>
    <cellStyle name="Dziesiętny [0]_Invoices2001Slovakia_Nhµ ®Ó xe" xfId="1107"/>
    <cellStyle name="Dziesietny [0]_Invoices2001Slovakia_Nha bao ve(28-7-05)" xfId="1108"/>
    <cellStyle name="Dziesiętny [0]_Invoices2001Slovakia_Nha bao ve(28-7-05)" xfId="1109"/>
    <cellStyle name="Dziesietny [0]_Invoices2001Slovakia_NHA de xe nguyen du" xfId="1110"/>
    <cellStyle name="Dziesiętny [0]_Invoices2001Slovakia_NHA de xe nguyen du" xfId="1111"/>
    <cellStyle name="Dziesietny [0]_Invoices2001Slovakia_Nhalamviec VTC(25-1-05)" xfId="1112"/>
    <cellStyle name="Dziesiętny [0]_Invoices2001Slovakia_Nhalamviec VTC(25-1-05)" xfId="1113"/>
    <cellStyle name="Dziesietny [0]_Invoices2001Slovakia_Nhu cau von ung truoc 2011 Tha h Hoa + Nge An gui TW" xfId="1114"/>
    <cellStyle name="Dziesiętny [0]_Invoices2001Slovakia_TDT KHANH HOA" xfId="1115"/>
    <cellStyle name="Dziesietny [0]_Invoices2001Slovakia_TDT KHANH HOA_Tong hop Cac tuyen(9-1-06)" xfId="1116"/>
    <cellStyle name="Dziesiętny [0]_Invoices2001Slovakia_TDT KHANH HOA_Tong hop Cac tuyen(9-1-06)" xfId="1117"/>
    <cellStyle name="Dziesietny [0]_Invoices2001Slovakia_TDT quangngai" xfId="1118"/>
    <cellStyle name="Dziesiętny [0]_Invoices2001Slovakia_TDT quangngai" xfId="1119"/>
    <cellStyle name="Dziesietny [0]_Invoices2001Slovakia_TMDT(10-5-06)" xfId="1120"/>
    <cellStyle name="Dziesietny_Invoices2001Slovakia" xfId="1121"/>
    <cellStyle name="Dziesiętny_Invoices2001Slovakia" xfId="1122"/>
    <cellStyle name="Dziesietny_Invoices2001Slovakia_01_Nha so 1_Dien" xfId="1123"/>
    <cellStyle name="Dziesiętny_Invoices2001Slovakia_01_Nha so 1_Dien" xfId="1124"/>
    <cellStyle name="Dziesietny_Invoices2001Slovakia_01_Nha so 1_Dien 2" xfId="1125"/>
    <cellStyle name="Dziesiętny_Invoices2001Slovakia_01_Nha so 1_Dien 2" xfId="1126"/>
    <cellStyle name="Dziesietny_Invoices2001Slovakia_10_Nha so 10_Dien1" xfId="1127"/>
    <cellStyle name="Dziesiętny_Invoices2001Slovakia_10_Nha so 10_Dien1" xfId="1128"/>
    <cellStyle name="Dziesietny_Invoices2001Slovakia_10_Nha so 10_Dien1 2" xfId="1129"/>
    <cellStyle name="Dziesiętny_Invoices2001Slovakia_10_Nha so 10_Dien1 2" xfId="1130"/>
    <cellStyle name="Dziesietny_Invoices2001Slovakia_Book1" xfId="1131"/>
    <cellStyle name="Dziesiętny_Invoices2001Slovakia_Book1" xfId="1132"/>
    <cellStyle name="Dziesietny_Invoices2001Slovakia_Book1_1" xfId="1133"/>
    <cellStyle name="Dziesiętny_Invoices2001Slovakia_Book1_1" xfId="1134"/>
    <cellStyle name="Dziesietny_Invoices2001Slovakia_Book1_1 2" xfId="1135"/>
    <cellStyle name="Dziesiętny_Invoices2001Slovakia_Book1_1 2" xfId="1136"/>
    <cellStyle name="Dziesietny_Invoices2001Slovakia_Book1_1_Book1" xfId="1137"/>
    <cellStyle name="Dziesiętny_Invoices2001Slovakia_Book1_1_Book1" xfId="1138"/>
    <cellStyle name="Dziesietny_Invoices2001Slovakia_Book1_1_Book1 2" xfId="1139"/>
    <cellStyle name="Dziesiętny_Invoices2001Slovakia_Book1_1_Book1 2" xfId="1140"/>
    <cellStyle name="Dziesietny_Invoices2001Slovakia_Book1_2" xfId="1141"/>
    <cellStyle name="Dziesiętny_Invoices2001Slovakia_Book1_2" xfId="1142"/>
    <cellStyle name="Dziesietny_Invoices2001Slovakia_Book1_2 2" xfId="1143"/>
    <cellStyle name="Dziesiętny_Invoices2001Slovakia_Book1_2 2" xfId="1144"/>
    <cellStyle name="Dziesietny_Invoices2001Slovakia_Book1_Nhu cau von ung truoc 2011 Tha h Hoa + Nge An gui TW" xfId="1145"/>
    <cellStyle name="Dziesiętny_Invoices2001Slovakia_Book1_Nhu cau von ung truoc 2011 Tha h Hoa + Nge An gui TW" xfId="1146"/>
    <cellStyle name="Dziesietny_Invoices2001Slovakia_Book1_Tong hop Cac tuyen(9-1-06)" xfId="1147"/>
    <cellStyle name="Dziesiętny_Invoices2001Slovakia_Book1_Tong hop Cac tuyen(9-1-06)" xfId="1148"/>
    <cellStyle name="Dziesietny_Invoices2001Slovakia_Book1_ung 2011 - 11-6-Thanh hoa-Nghe an" xfId="1149"/>
    <cellStyle name="Dziesiętny_Invoices2001Slovakia_Book1_ung 2011 - 11-6-Thanh hoa-Nghe an" xfId="1150"/>
    <cellStyle name="Dziesietny_Invoices2001Slovakia_Book1_ung truoc 2011 NSTW Thanh Hoa + Nge An gui Thu 12-5" xfId="1151"/>
    <cellStyle name="Dziesiętny_Invoices2001Slovakia_Book1_ung truoc 2011 NSTW Thanh Hoa + Nge An gui Thu 12-5" xfId="1152"/>
    <cellStyle name="Dziesietny_Invoices2001Slovakia_d-uong+TDT" xfId="1153"/>
    <cellStyle name="Dziesiętny_Invoices2001Slovakia_Nhµ ®Ó xe" xfId="1154"/>
    <cellStyle name="Dziesietny_Invoices2001Slovakia_Nha bao ve(28-7-05)" xfId="1155"/>
    <cellStyle name="Dziesiętny_Invoices2001Slovakia_Nha bao ve(28-7-05)" xfId="1156"/>
    <cellStyle name="Dziesietny_Invoices2001Slovakia_NHA de xe nguyen du" xfId="1157"/>
    <cellStyle name="Dziesiętny_Invoices2001Slovakia_NHA de xe nguyen du" xfId="1158"/>
    <cellStyle name="Dziesietny_Invoices2001Slovakia_Nhalamviec VTC(25-1-05)" xfId="1159"/>
    <cellStyle name="Dziesiętny_Invoices2001Slovakia_Nhalamviec VTC(25-1-05)" xfId="1160"/>
    <cellStyle name="Dziesietny_Invoices2001Slovakia_Nhu cau von ung truoc 2011 Tha h Hoa + Nge An gui TW" xfId="1161"/>
    <cellStyle name="Dziesiętny_Invoices2001Slovakia_TDT KHANH HOA" xfId="1162"/>
    <cellStyle name="Dziesietny_Invoices2001Slovakia_TDT KHANH HOA_Tong hop Cac tuyen(9-1-06)" xfId="1163"/>
    <cellStyle name="Dziesiętny_Invoices2001Slovakia_TDT KHANH HOA_Tong hop Cac tuyen(9-1-06)" xfId="1164"/>
    <cellStyle name="Dziesietny_Invoices2001Slovakia_TDT quangngai" xfId="1165"/>
    <cellStyle name="Dziesiętny_Invoices2001Slovakia_TDT quangngai" xfId="1166"/>
    <cellStyle name="Dziesietny_Invoices2001Slovakia_TMDT(10-5-06)" xfId="1167"/>
    <cellStyle name="e" xfId="1168"/>
    <cellStyle name="Encabez1" xfId="1169"/>
    <cellStyle name="Encabez2" xfId="1170"/>
    <cellStyle name="Enter Currency (0)" xfId="1171"/>
    <cellStyle name="Enter Currency (2)" xfId="1172"/>
    <cellStyle name="Enter Units (0)" xfId="1173"/>
    <cellStyle name="Enter Units (1)" xfId="1174"/>
    <cellStyle name="Enter Units (2)" xfId="1175"/>
    <cellStyle name="Entered" xfId="1176"/>
    <cellStyle name="En-tete1" xfId="1177"/>
    <cellStyle name="En-tete2" xfId="1178"/>
    <cellStyle name="Euro" xfId="1179"/>
    <cellStyle name="Euro 2" xfId="1180"/>
    <cellStyle name="Excel Built-in Normal" xfId="1181"/>
    <cellStyle name="Explanatory Text 2" xfId="1182"/>
    <cellStyle name="f" xfId="1183"/>
    <cellStyle name="F2" xfId="1184"/>
    <cellStyle name="F3" xfId="1185"/>
    <cellStyle name="F4" xfId="1186"/>
    <cellStyle name="F5" xfId="1187"/>
    <cellStyle name="F6" xfId="1188"/>
    <cellStyle name="F7" xfId="1189"/>
    <cellStyle name="F8" xfId="1190"/>
    <cellStyle name="Fijo" xfId="1191"/>
    <cellStyle name="Financier" xfId="1192"/>
    <cellStyle name="Financiero" xfId="1193"/>
    <cellStyle name="Fixe" xfId="1194"/>
    <cellStyle name="Fixe 2" xfId="1195"/>
    <cellStyle name="Fixed" xfId="1196"/>
    <cellStyle name="Font Britannic16" xfId="1197"/>
    <cellStyle name="Font Britannic18" xfId="1198"/>
    <cellStyle name="Font CenturyCond 18" xfId="1199"/>
    <cellStyle name="Font Cond20" xfId="1200"/>
    <cellStyle name="Font LucidaSans16" xfId="1201"/>
    <cellStyle name="Font NewCenturyCond18" xfId="1202"/>
    <cellStyle name="Font Ottawa14" xfId="1203"/>
    <cellStyle name="Font Ottawa16" xfId="1204"/>
    <cellStyle name="Formulas" xfId="1205"/>
    <cellStyle name="Ghi chú" xfId="1206"/>
    <cellStyle name="Ghi chú 2" xfId="1207"/>
    <cellStyle name="gia" xfId="1208"/>
    <cellStyle name="Good 2" xfId="1209"/>
    <cellStyle name="Grey" xfId="1210"/>
    <cellStyle name="Group" xfId="1211"/>
    <cellStyle name="H" xfId="1212"/>
    <cellStyle name="ha" xfId="1213"/>
    <cellStyle name="HAI" xfId="1214"/>
    <cellStyle name="Head 1" xfId="1215"/>
    <cellStyle name="HEADER" xfId="1216"/>
    <cellStyle name="Header1" xfId="1217"/>
    <cellStyle name="Header2" xfId="1218"/>
    <cellStyle name="Heading 1 2" xfId="1219"/>
    <cellStyle name="Heading 2 2" xfId="1220"/>
    <cellStyle name="Heading 3 2" xfId="1221"/>
    <cellStyle name="Heading 4 2" xfId="1222"/>
    <cellStyle name="HEADING1" xfId="1223"/>
    <cellStyle name="HEADING2" xfId="1224"/>
    <cellStyle name="HEADINGS" xfId="1225"/>
    <cellStyle name="HEADINGSTOP" xfId="1226"/>
    <cellStyle name="headoption" xfId="1227"/>
    <cellStyle name="hoa" xfId="1228"/>
    <cellStyle name="Hoa-Scholl" xfId="1229"/>
    <cellStyle name="HUY" xfId="1230"/>
    <cellStyle name="i phÝ kh¸c_B¶ng 2" xfId="1231"/>
    <cellStyle name="I.3" xfId="1232"/>
    <cellStyle name="I.3 2" xfId="1233"/>
    <cellStyle name="i·0" xfId="1234"/>
    <cellStyle name="ï-¾È»ê_BiÓu TB" xfId="1235"/>
    <cellStyle name="Input [yellow]" xfId="1236"/>
    <cellStyle name="Input 2" xfId="1237"/>
    <cellStyle name="k" xfId="1238"/>
    <cellStyle name="k_TONG HOP KINH PHI" xfId="1239"/>
    <cellStyle name="k_ÿÿÿÿÿ" xfId="1240"/>
    <cellStyle name="k_ÿÿÿÿÿ_1" xfId="1241"/>
    <cellStyle name="k_ÿÿÿÿÿ_2" xfId="1242"/>
    <cellStyle name="kh¸c_Bang Chi tieu" xfId="1243"/>
    <cellStyle name="khanh" xfId="1244"/>
    <cellStyle name="khoa2" xfId="1245"/>
    <cellStyle name="khung" xfId="1246"/>
    <cellStyle name="khung 2" xfId="1247"/>
    <cellStyle name="Kiểm tra Ô" xfId="1248"/>
    <cellStyle name="KL" xfId="1249"/>
    <cellStyle name="LAS - XD 354" xfId="1250"/>
    <cellStyle name="LAS - XD 354 2" xfId="1251"/>
    <cellStyle name="Ledger 17 x 11 in" xfId="1252"/>
    <cellStyle name="Ledger 17 x 11 in 2" xfId="1253"/>
    <cellStyle name="Ledger 17 x 11 in 3" xfId="1254"/>
    <cellStyle name="Ledger 17 x 11 in_bieu 1" xfId="1255"/>
    <cellStyle name="left" xfId="1256"/>
    <cellStyle name="Line" xfId="1257"/>
    <cellStyle name="Link Currency (0)" xfId="1258"/>
    <cellStyle name="Link Currency (2)" xfId="1259"/>
    <cellStyle name="Link Units (0)" xfId="1260"/>
    <cellStyle name="Link Units (1)" xfId="1261"/>
    <cellStyle name="Link Units (2)" xfId="1262"/>
    <cellStyle name="Linked Cell 2" xfId="1263"/>
    <cellStyle name="MAU" xfId="1264"/>
    <cellStyle name="Migliaia (0)_CALPREZZ" xfId="1265"/>
    <cellStyle name="Migliaia_ PESO ELETTR." xfId="1266"/>
    <cellStyle name="Millares [0]_10 AVERIAS MASIVAS + ANT" xfId="1267"/>
    <cellStyle name="Millares_Well Timing" xfId="1268"/>
    <cellStyle name="Milliers [0]_      " xfId="1269"/>
    <cellStyle name="Milliers_      " xfId="1270"/>
    <cellStyle name="Model" xfId="1271"/>
    <cellStyle name="moi" xfId="1272"/>
    <cellStyle name="Moneda [0]_Well Timing" xfId="1273"/>
    <cellStyle name="Moneda_Well Timing" xfId="1274"/>
    <cellStyle name="Monetaire" xfId="1275"/>
    <cellStyle name="Monétaire [0]_      " xfId="1276"/>
    <cellStyle name="Monétaire_      " xfId="1277"/>
    <cellStyle name="n" xfId="1278"/>
    <cellStyle name="n_17 bieu (hung cap nhap)" xfId="1279"/>
    <cellStyle name="n_Bao cao doan cong tac cua Bo thang 4-2010" xfId="1280"/>
    <cellStyle name="n_goi 4 - qt" xfId="1281"/>
    <cellStyle name="n_VBPL kiểm toán Đầu tư XDCB 2010" xfId="1282"/>
    <cellStyle name="Neutral 2" xfId="1283"/>
    <cellStyle name="New" xfId="1284"/>
    <cellStyle name="New 2" xfId="1285"/>
    <cellStyle name="New Times Roman" xfId="1286"/>
    <cellStyle name="New Times Roman 2" xfId="1287"/>
    <cellStyle name="nga" xfId="1288"/>
    <cellStyle name="nga 2" xfId="1289"/>
    <cellStyle name="Nhấn1" xfId="1290"/>
    <cellStyle name="Nhấn2" xfId="1291"/>
    <cellStyle name="Nhấn3" xfId="1292"/>
    <cellStyle name="Nhấn4" xfId="1293"/>
    <cellStyle name="Nhấn5" xfId="1294"/>
    <cellStyle name="Nhấn6" xfId="1295"/>
    <cellStyle name="no dec" xfId="1296"/>
    <cellStyle name="ÑONVÒ" xfId="1297"/>
    <cellStyle name="Normal" xfId="0" builtinId="0"/>
    <cellStyle name="Normal - ??1" xfId="1298"/>
    <cellStyle name="Normal - Style1" xfId="1299"/>
    <cellStyle name="Normal - Style1 2" xfId="1300"/>
    <cellStyle name="Normal - Style1 2 2" xfId="1301"/>
    <cellStyle name="Normal - Style1 2 3" xfId="1302"/>
    <cellStyle name="Normal - Style1 2 4" xfId="1303"/>
    <cellStyle name="Normal - Style1 2_Khoi cong moi 1" xfId="1304"/>
    <cellStyle name="Normal - Style1 3" xfId="1305"/>
    <cellStyle name="Normal - Style1 4" xfId="1306"/>
    <cellStyle name="Normal - Style1_Bao cao kiem toan kh 2010" xfId="1307"/>
    <cellStyle name="Normal - 유형1" xfId="1308"/>
    <cellStyle name="Normal 10" xfId="1309"/>
    <cellStyle name="Normal 10 2" xfId="18"/>
    <cellStyle name="Normal 10 2 2" xfId="1310"/>
    <cellStyle name="Normal 10 3" xfId="1311"/>
    <cellStyle name="Normal 11" xfId="1312"/>
    <cellStyle name="Normal 11 3" xfId="1313"/>
    <cellStyle name="Normal 12" xfId="1314"/>
    <cellStyle name="Normal 12 2" xfId="1315"/>
    <cellStyle name="Normal 13" xfId="1316"/>
    <cellStyle name="Normal 13 2" xfId="1317"/>
    <cellStyle name="Normal 14 2" xfId="1318"/>
    <cellStyle name="Normal 15" xfId="1319"/>
    <cellStyle name="Normal 16 2" xfId="1320"/>
    <cellStyle name="Normal 17" xfId="1321"/>
    <cellStyle name="Normal 19" xfId="1322"/>
    <cellStyle name="Normal 2" xfId="6"/>
    <cellStyle name="Normal 2 2" xfId="1323"/>
    <cellStyle name="Normal 2 2 2" xfId="1324"/>
    <cellStyle name="Normal 2 2 2 2" xfId="1325"/>
    <cellStyle name="Normal 2 3" xfId="1326"/>
    <cellStyle name="Normal 2 3 2" xfId="1327"/>
    <cellStyle name="Normal 2 4" xfId="1328"/>
    <cellStyle name="Normal 2 5" xfId="1329"/>
    <cellStyle name="Normal 2 6" xfId="1330"/>
    <cellStyle name="Normal 2 6 2" xfId="1331"/>
    <cellStyle name="Normal 2 7 3" xfId="1332"/>
    <cellStyle name="Normal 2_160507 Bieu mau NSDP ND sua ND73" xfId="1333"/>
    <cellStyle name="Normal 20" xfId="1334"/>
    <cellStyle name="Normal 22" xfId="1335"/>
    <cellStyle name="Normal 22 2 2" xfId="1336"/>
    <cellStyle name="Normal 23" xfId="1337"/>
    <cellStyle name="Normal 23 2" xfId="1338"/>
    <cellStyle name="Normal 24" xfId="1339"/>
    <cellStyle name="Normal 25" xfId="1340"/>
    <cellStyle name="Normal 26" xfId="1341"/>
    <cellStyle name="Normal 27" xfId="1342"/>
    <cellStyle name="Normal 28" xfId="1343"/>
    <cellStyle name="Normal 29" xfId="1344"/>
    <cellStyle name="Normal 3" xfId="20"/>
    <cellStyle name="Normal 3 2" xfId="1345"/>
    <cellStyle name="Normal 3 2 4" xfId="1346"/>
    <cellStyle name="Normal 3 3" xfId="1347"/>
    <cellStyle name="Normal 3 4" xfId="1348"/>
    <cellStyle name="Normal 3_17 bieu (hung cap nhap)" xfId="1349"/>
    <cellStyle name="Normal 30" xfId="1350"/>
    <cellStyle name="Normal 31" xfId="1351"/>
    <cellStyle name="Normal 32" xfId="1352"/>
    <cellStyle name="Normal 4" xfId="7"/>
    <cellStyle name="Normal 4 2" xfId="8"/>
    <cellStyle name="Normal 4_160513 Bieu mau NSDP ND sua ND73" xfId="1353"/>
    <cellStyle name="Normal 43" xfId="9"/>
    <cellStyle name="Normal 43 2" xfId="17"/>
    <cellStyle name="Normal 5" xfId="1354"/>
    <cellStyle name="Normal 5 2" xfId="1355"/>
    <cellStyle name="Normal 5 2 3" xfId="1356"/>
    <cellStyle name="Normal 5 3" xfId="1357"/>
    <cellStyle name="Normal 5_VBPL kiểm toán Đầu tư XDCB 2010" xfId="1358"/>
    <cellStyle name="Normal 6" xfId="1359"/>
    <cellStyle name="Normal 6 2" xfId="1360"/>
    <cellStyle name="Normal 6 3 2" xfId="15"/>
    <cellStyle name="Normal 6 4" xfId="1361"/>
    <cellStyle name="Normal 6 6 2" xfId="14"/>
    <cellStyle name="Normal 6_Bieu mau KH 2011 (gui Vu DP)" xfId="1362"/>
    <cellStyle name="Normal 7" xfId="1363"/>
    <cellStyle name="Normal 7 2" xfId="1364"/>
    <cellStyle name="Normal 8" xfId="1365"/>
    <cellStyle name="Normal 9" xfId="1366"/>
    <cellStyle name="Normal 9 2" xfId="1367"/>
    <cellStyle name="Normal 9 3" xfId="1368"/>
    <cellStyle name="Normal 9_BieuHD2016-2020Tquang2(OK)" xfId="1369"/>
    <cellStyle name="Normal_Bieu mau (CV )" xfId="16"/>
    <cellStyle name="Normal1" xfId="1370"/>
    <cellStyle name="Normal8" xfId="1371"/>
    <cellStyle name="NORMAL-ADB" xfId="1372"/>
    <cellStyle name="Normale_ PESO ELETTR." xfId="1373"/>
    <cellStyle name="Normalny_Cennik obowiazuje od 06-08-2001 r (1)" xfId="1374"/>
    <cellStyle name="Note 2" xfId="1375"/>
    <cellStyle name="NWM" xfId="1376"/>
    <cellStyle name="Ô Được nối kết" xfId="1377"/>
    <cellStyle name="Ò_x000d_Normal_123569" xfId="1378"/>
    <cellStyle name="Œ…‹æØ‚è [0.00]_††††† " xfId="1379"/>
    <cellStyle name="Œ…‹æØ‚è_††††† " xfId="1380"/>
    <cellStyle name="oft Excel]_x000d__x000a_Comment=open=/f ‚ðw’è‚·‚é‚ÆAƒ†[ƒU[’è‹`ŠÖ”‚ðŠÖ”“\‚è•t‚¯‚Ìˆê——‚É“o˜^‚·‚é‚±‚Æ‚ª‚Å‚«‚Ü‚·B_x000d__x000a_Maximized" xfId="1381"/>
    <cellStyle name="oft Excel]_x000d__x000a_Comment=open=/f ‚ðŽw’è‚·‚é‚ÆAƒ†[ƒU[’è‹`ŠÖ”‚ðŠÖ”“\‚è•t‚¯‚Ìˆê——‚É“o˜^‚·‚é‚±‚Æ‚ª‚Å‚«‚Ü‚·B_x000d__x000a_Maximized" xfId="1382"/>
    <cellStyle name="oft Excel]_x000d__x000a_Comment=open=/f ‚ðŽw’è‚·‚é‚ÆAƒ†[ƒU[’è‹`ŠÖ”‚ðŠÖ”“\‚è•t‚¯‚Ìˆê——‚É“o˜^‚·‚é‚±‚Æ‚ª‚Å‚«‚Ü‚·B_x000d__x000a_Maximized 2" xfId="1383"/>
    <cellStyle name="oft Excel]_x000d__x000a_Comment=The open=/f lines load custom functions into the Paste Function list._x000d__x000a_Maximized=2_x000d__x000a_Basics=1_x000d__x000a_A" xfId="1384"/>
    <cellStyle name="oft Excel]_x000d__x000a_Comment=The open=/f lines load custom functions into the Paste Function list._x000d__x000a_Maximized=3_x000d__x000a_Basics=1_x000d__x000a_A" xfId="1385"/>
    <cellStyle name="oft Excel]_x000d__x000a_Comment=The open=/f lines load custom functions into the Paste Function list._x000d__x000a_Maximized=3_x000d__x000a_Basics=1_x000d__x000a_A 2" xfId="1386"/>
    <cellStyle name="omma [0]_Mktg Prog" xfId="1387"/>
    <cellStyle name="ormal_Sheet1_1" xfId="1388"/>
    <cellStyle name="Output 2" xfId="1389"/>
    <cellStyle name="p" xfId="1390"/>
    <cellStyle name="paint" xfId="1391"/>
    <cellStyle name="Pattern" xfId="1392"/>
    <cellStyle name="Pattern 2" xfId="1393"/>
    <cellStyle name="per.style" xfId="1394"/>
    <cellStyle name="per.style 2" xfId="1395"/>
    <cellStyle name="Percent" xfId="10" builtinId="5"/>
    <cellStyle name="Percent [0]" xfId="1396"/>
    <cellStyle name="Percent [0] 2" xfId="1397"/>
    <cellStyle name="Percent [00]" xfId="1398"/>
    <cellStyle name="Percent [00] 2" xfId="1399"/>
    <cellStyle name="Percent [2]" xfId="1400"/>
    <cellStyle name="Percent [2] 2" xfId="1401"/>
    <cellStyle name="Percent 10" xfId="1402"/>
    <cellStyle name="Percent 2" xfId="1403"/>
    <cellStyle name="Percent 3" xfId="13"/>
    <cellStyle name="Percent 4" xfId="1404"/>
    <cellStyle name="Percent 6 2" xfId="1405"/>
    <cellStyle name="PERCENTAGE" xfId="1406"/>
    <cellStyle name="PHONG" xfId="1407"/>
    <cellStyle name="Pourcentage" xfId="1408"/>
    <cellStyle name="PrePop Currency (0)" xfId="1409"/>
    <cellStyle name="PrePop Currency (2)" xfId="1410"/>
    <cellStyle name="PrePop Units (0)" xfId="1411"/>
    <cellStyle name="PrePop Units (1)" xfId="1412"/>
    <cellStyle name="PrePop Units (2)" xfId="1413"/>
    <cellStyle name="pricing" xfId="1414"/>
    <cellStyle name="PSChar" xfId="1415"/>
    <cellStyle name="PSChar 2" xfId="1416"/>
    <cellStyle name="PSHeading" xfId="1417"/>
    <cellStyle name="regstoresfromspecstores" xfId="1418"/>
    <cellStyle name="RevList" xfId="1419"/>
    <cellStyle name="rlink_tiªn l­în_x001b_Hyperlink_TONG HOP KINH PHI" xfId="1420"/>
    <cellStyle name="rmal_ADAdot" xfId="1421"/>
    <cellStyle name="S—_x0008_" xfId="1422"/>
    <cellStyle name="s]_x000d__x000a_spooler=yes_x000d__x000a_load=_x000d__x000a_Beep=yes_x000d__x000a_NullPort=None_x000d__x000a_BorderWidth=3_x000d__x000a_CursorBlinkRate=1200_x000d__x000a_DoubleClickSpeed=452_x000d__x000a_Programs=co" xfId="1423"/>
    <cellStyle name="s]_x000d__x000a_spooler=yes_x000d__x000a_load=_x000d__x000a_Beep=yes_x000d__x000a_NullPort=None_x000d__x000a_BorderWidth=3_x000d__x000a_CursorBlinkRate=1200_x000d__x000a_DoubleClickSpeed=452_x000d__x000a_Programs=co 2" xfId="1424"/>
    <cellStyle name="SAPBEXaggData" xfId="1425"/>
    <cellStyle name="SAPBEXaggDataEmph" xfId="1426"/>
    <cellStyle name="SAPBEXaggItem" xfId="1427"/>
    <cellStyle name="SAPBEXchaText" xfId="1428"/>
    <cellStyle name="SAPBEXexcBad7" xfId="1429"/>
    <cellStyle name="SAPBEXexcBad8" xfId="1430"/>
    <cellStyle name="SAPBEXexcBad9" xfId="1431"/>
    <cellStyle name="SAPBEXexcCritical4" xfId="1432"/>
    <cellStyle name="SAPBEXexcCritical5" xfId="1433"/>
    <cellStyle name="SAPBEXexcCritical6" xfId="1434"/>
    <cellStyle name="SAPBEXexcGood1" xfId="1435"/>
    <cellStyle name="SAPBEXexcGood2" xfId="1436"/>
    <cellStyle name="SAPBEXexcGood3" xfId="1437"/>
    <cellStyle name="SAPBEXfilterDrill" xfId="1438"/>
    <cellStyle name="SAPBEXfilterItem" xfId="1439"/>
    <cellStyle name="SAPBEXfilterText" xfId="1440"/>
    <cellStyle name="SAPBEXformats" xfId="1441"/>
    <cellStyle name="SAPBEXheaderItem" xfId="1442"/>
    <cellStyle name="SAPBEXheaderItem 2" xfId="1443"/>
    <cellStyle name="SAPBEXheaderText" xfId="1444"/>
    <cellStyle name="SAPBEXheaderText 2" xfId="1445"/>
    <cellStyle name="SAPBEXresData" xfId="1446"/>
    <cellStyle name="SAPBEXresDataEmph" xfId="1447"/>
    <cellStyle name="SAPBEXresItem" xfId="1448"/>
    <cellStyle name="SAPBEXstdData" xfId="1449"/>
    <cellStyle name="SAPBEXstdDataEmph" xfId="1450"/>
    <cellStyle name="SAPBEXstdItem" xfId="1451"/>
    <cellStyle name="SAPBEXtitle" xfId="1452"/>
    <cellStyle name="SAPBEXundefined" xfId="1453"/>
    <cellStyle name="serJet 1200 Series PCL 6" xfId="1454"/>
    <cellStyle name="SHADEDSTORES" xfId="1455"/>
    <cellStyle name="so" xfId="1456"/>
    <cellStyle name="SO%" xfId="1457"/>
    <cellStyle name="so_Book1" xfId="1458"/>
    <cellStyle name="songuyen" xfId="1459"/>
    <cellStyle name="specstores" xfId="1460"/>
    <cellStyle name="Standard" xfId="1461"/>
    <cellStyle name="STT" xfId="1462"/>
    <cellStyle name="STT 2" xfId="1463"/>
    <cellStyle name="STTDG" xfId="1464"/>
    <cellStyle name="style" xfId="1465"/>
    <cellStyle name="Style 1" xfId="1466"/>
    <cellStyle name="Style 10" xfId="1467"/>
    <cellStyle name="Style 10 2" xfId="1468"/>
    <cellStyle name="Style 100" xfId="1469"/>
    <cellStyle name="Style 101" xfId="1470"/>
    <cellStyle name="Style 102" xfId="1471"/>
    <cellStyle name="Style 103" xfId="1472"/>
    <cellStyle name="Style 104" xfId="1473"/>
    <cellStyle name="Style 105" xfId="1474"/>
    <cellStyle name="Style 106" xfId="1475"/>
    <cellStyle name="Style 107" xfId="1476"/>
    <cellStyle name="Style 108" xfId="1477"/>
    <cellStyle name="Style 109" xfId="1478"/>
    <cellStyle name="Style 11" xfId="1479"/>
    <cellStyle name="Style 11 2" xfId="1480"/>
    <cellStyle name="Style 110" xfId="1481"/>
    <cellStyle name="Style 111" xfId="1482"/>
    <cellStyle name="Style 112" xfId="1483"/>
    <cellStyle name="Style 113" xfId="1484"/>
    <cellStyle name="Style 114" xfId="1485"/>
    <cellStyle name="Style 115" xfId="1486"/>
    <cellStyle name="Style 116" xfId="1487"/>
    <cellStyle name="Style 117" xfId="1488"/>
    <cellStyle name="Style 118" xfId="1489"/>
    <cellStyle name="Style 118 2" xfId="1490"/>
    <cellStyle name="Style 119" xfId="1491"/>
    <cellStyle name="Style 12" xfId="1492"/>
    <cellStyle name="Style 12 2" xfId="1493"/>
    <cellStyle name="Style 120" xfId="1494"/>
    <cellStyle name="Style 121" xfId="1495"/>
    <cellStyle name="Style 122" xfId="1496"/>
    <cellStyle name="Style 123" xfId="1497"/>
    <cellStyle name="Style 124" xfId="1498"/>
    <cellStyle name="Style 125" xfId="1499"/>
    <cellStyle name="Style 126" xfId="1500"/>
    <cellStyle name="Style 127" xfId="1501"/>
    <cellStyle name="Style 128" xfId="1502"/>
    <cellStyle name="Style 129" xfId="1503"/>
    <cellStyle name="Style 13" xfId="1504"/>
    <cellStyle name="Style 13 2" xfId="1505"/>
    <cellStyle name="Style 130" xfId="1506"/>
    <cellStyle name="Style 131" xfId="1507"/>
    <cellStyle name="Style 132" xfId="1508"/>
    <cellStyle name="Style 133" xfId="1509"/>
    <cellStyle name="Style 134" xfId="1510"/>
    <cellStyle name="Style 135" xfId="1511"/>
    <cellStyle name="Style 136" xfId="1512"/>
    <cellStyle name="Style 137" xfId="1513"/>
    <cellStyle name="Style 138" xfId="1514"/>
    <cellStyle name="Style 139" xfId="1515"/>
    <cellStyle name="Style 14" xfId="1516"/>
    <cellStyle name="Style 14 2" xfId="1517"/>
    <cellStyle name="Style 140" xfId="1518"/>
    <cellStyle name="Style 141" xfId="1519"/>
    <cellStyle name="Style 142" xfId="1520"/>
    <cellStyle name="Style 143" xfId="1521"/>
    <cellStyle name="Style 144" xfId="1522"/>
    <cellStyle name="Style 145" xfId="1523"/>
    <cellStyle name="Style 146" xfId="1524"/>
    <cellStyle name="Style 147" xfId="1525"/>
    <cellStyle name="Style 148" xfId="1526"/>
    <cellStyle name="Style 149" xfId="1527"/>
    <cellStyle name="Style 15" xfId="1528"/>
    <cellStyle name="Style 15 2" xfId="1529"/>
    <cellStyle name="Style 150" xfId="1530"/>
    <cellStyle name="Style 151" xfId="1531"/>
    <cellStyle name="Style 152" xfId="1532"/>
    <cellStyle name="Style 153" xfId="1533"/>
    <cellStyle name="Style 154" xfId="1534"/>
    <cellStyle name="Style 155" xfId="1535"/>
    <cellStyle name="Style 155 2" xfId="1536"/>
    <cellStyle name="Style 156" xfId="1537"/>
    <cellStyle name="Style 157" xfId="1538"/>
    <cellStyle name="Style 158" xfId="1539"/>
    <cellStyle name="Style 159" xfId="1540"/>
    <cellStyle name="Style 16" xfId="1541"/>
    <cellStyle name="Style 160" xfId="1542"/>
    <cellStyle name="Style 161" xfId="1543"/>
    <cellStyle name="Style 162" xfId="1544"/>
    <cellStyle name="Style 163" xfId="1545"/>
    <cellStyle name="Style 17" xfId="1546"/>
    <cellStyle name="Style 18" xfId="1547"/>
    <cellStyle name="Style 19" xfId="1548"/>
    <cellStyle name="Style 2" xfId="1549"/>
    <cellStyle name="Style 2 2" xfId="1550"/>
    <cellStyle name="Style 20" xfId="1551"/>
    <cellStyle name="Style 21" xfId="1552"/>
    <cellStyle name="Style 22" xfId="1553"/>
    <cellStyle name="Style 23" xfId="1554"/>
    <cellStyle name="Style 24" xfId="1555"/>
    <cellStyle name="Style 25" xfId="1556"/>
    <cellStyle name="Style 26" xfId="1557"/>
    <cellStyle name="Style 27" xfId="1558"/>
    <cellStyle name="Style 28" xfId="1559"/>
    <cellStyle name="Style 29" xfId="1560"/>
    <cellStyle name="Style 3" xfId="1561"/>
    <cellStyle name="Style 30" xfId="1562"/>
    <cellStyle name="Style 31" xfId="1563"/>
    <cellStyle name="Style 32" xfId="1564"/>
    <cellStyle name="Style 33" xfId="1565"/>
    <cellStyle name="Style 34" xfId="1566"/>
    <cellStyle name="Style 35" xfId="1567"/>
    <cellStyle name="Style 36" xfId="1568"/>
    <cellStyle name="Style 37" xfId="1569"/>
    <cellStyle name="Style 38" xfId="1570"/>
    <cellStyle name="Style 39" xfId="1571"/>
    <cellStyle name="Style 4" xfId="1572"/>
    <cellStyle name="Style 40" xfId="1573"/>
    <cellStyle name="Style 41" xfId="1574"/>
    <cellStyle name="Style 42" xfId="1575"/>
    <cellStyle name="Style 43" xfId="1576"/>
    <cellStyle name="Style 44" xfId="1577"/>
    <cellStyle name="Style 45" xfId="1578"/>
    <cellStyle name="Style 46" xfId="1579"/>
    <cellStyle name="Style 47" xfId="1580"/>
    <cellStyle name="Style 48" xfId="1581"/>
    <cellStyle name="Style 49" xfId="1582"/>
    <cellStyle name="Style 5" xfId="1583"/>
    <cellStyle name="Style 50" xfId="1584"/>
    <cellStyle name="Style 51" xfId="1585"/>
    <cellStyle name="Style 51 2" xfId="1586"/>
    <cellStyle name="Style 52" xfId="1587"/>
    <cellStyle name="Style 53" xfId="1588"/>
    <cellStyle name="Style 54" xfId="1589"/>
    <cellStyle name="Style 55" xfId="1590"/>
    <cellStyle name="Style 56" xfId="1591"/>
    <cellStyle name="Style 57" xfId="1592"/>
    <cellStyle name="Style 58" xfId="1593"/>
    <cellStyle name="Style 59" xfId="1594"/>
    <cellStyle name="Style 6" xfId="1595"/>
    <cellStyle name="Style 60" xfId="1596"/>
    <cellStyle name="Style 61" xfId="1597"/>
    <cellStyle name="Style 62" xfId="1598"/>
    <cellStyle name="Style 63" xfId="1599"/>
    <cellStyle name="Style 63 2" xfId="1600"/>
    <cellStyle name="Style 64" xfId="1601"/>
    <cellStyle name="Style 64 2" xfId="1602"/>
    <cellStyle name="Style 65" xfId="1603"/>
    <cellStyle name="Style 65 2" xfId="1604"/>
    <cellStyle name="Style 66" xfId="1605"/>
    <cellStyle name="Style 66 2" xfId="1606"/>
    <cellStyle name="Style 67" xfId="1607"/>
    <cellStyle name="Style 67 2" xfId="1608"/>
    <cellStyle name="Style 68" xfId="1609"/>
    <cellStyle name="Style 68 2" xfId="1610"/>
    <cellStyle name="Style 69" xfId="1611"/>
    <cellStyle name="Style 7" xfId="1612"/>
    <cellStyle name="Style 70" xfId="1613"/>
    <cellStyle name="Style 71" xfId="1614"/>
    <cellStyle name="Style 72" xfId="1615"/>
    <cellStyle name="Style 73" xfId="1616"/>
    <cellStyle name="Style 74" xfId="1617"/>
    <cellStyle name="Style 75" xfId="1618"/>
    <cellStyle name="Style 76" xfId="1619"/>
    <cellStyle name="Style 77" xfId="1620"/>
    <cellStyle name="Style 78" xfId="1621"/>
    <cellStyle name="Style 79" xfId="1622"/>
    <cellStyle name="Style 8" xfId="1623"/>
    <cellStyle name="Style 80" xfId="1624"/>
    <cellStyle name="Style 81" xfId="1625"/>
    <cellStyle name="Style 82" xfId="1626"/>
    <cellStyle name="Style 83" xfId="1627"/>
    <cellStyle name="Style 84" xfId="1628"/>
    <cellStyle name="Style 85" xfId="1629"/>
    <cellStyle name="Style 86" xfId="1630"/>
    <cellStyle name="Style 87" xfId="1631"/>
    <cellStyle name="Style 88" xfId="1632"/>
    <cellStyle name="Style 89" xfId="1633"/>
    <cellStyle name="Style 9" xfId="1634"/>
    <cellStyle name="Style 90" xfId="1635"/>
    <cellStyle name="Style 91" xfId="1636"/>
    <cellStyle name="Style 92" xfId="1637"/>
    <cellStyle name="Style 93" xfId="1638"/>
    <cellStyle name="Style 94" xfId="1639"/>
    <cellStyle name="Style 95" xfId="1640"/>
    <cellStyle name="Style 96" xfId="1641"/>
    <cellStyle name="Style 97" xfId="1642"/>
    <cellStyle name="Style 98" xfId="1643"/>
    <cellStyle name="Style 99" xfId="1644"/>
    <cellStyle name="Style Date" xfId="1645"/>
    <cellStyle name="style_1" xfId="1646"/>
    <cellStyle name="subhead" xfId="1647"/>
    <cellStyle name="Subtotal" xfId="1648"/>
    <cellStyle name="symbol" xfId="1649"/>
    <cellStyle name="T" xfId="1650"/>
    <cellStyle name="T_50-BB Vung tau 2011" xfId="1651"/>
    <cellStyle name="T_50-BB Vung tau 2011_120907 Thu tang them 4500" xfId="1652"/>
    <cellStyle name="T_50-BB Vung tau 2011_27-8Tong hop PA uoc 2012-DT 2013 -PA 420.000 ty-490.000 ty chuyen doi" xfId="1653"/>
    <cellStyle name="T_BANG LUONG MOI KSDH va KSDC (co phu cap khu vuc)" xfId="1654"/>
    <cellStyle name="T_bao cao" xfId="1655"/>
    <cellStyle name="T_Bao cao so lieu kiem toan nam 2007 sua" xfId="1656"/>
    <cellStyle name="T_Bao cao so lieu kiem toan nam 2007 sua 2" xfId="1657"/>
    <cellStyle name="T_BBTNG-06" xfId="1658"/>
    <cellStyle name="T_BC CTMT-2008 Ttinh" xfId="1659"/>
    <cellStyle name="T_BC CTMT-2008 Ttinh 2" xfId="1660"/>
    <cellStyle name="T_BC CTMT-2008 Ttinh_bieu tong hop" xfId="1661"/>
    <cellStyle name="T_BC CTMT-2008 Ttinh_Tong hop ra soat von ung 2011 -Chau" xfId="1662"/>
    <cellStyle name="T_BC CTMT-2008 Ttinh_Tong hop -Yte-Giao thong-Thuy loi-24-6" xfId="1663"/>
    <cellStyle name="T_Bc_tuan_1_CKy_6_KONTUM" xfId="1664"/>
    <cellStyle name="T_Bc_tuan_1_CKy_6_KONTUM 2" xfId="1665"/>
    <cellStyle name="T_Bc_tuan_1_CKy_6_KONTUM_Book1" xfId="1666"/>
    <cellStyle name="T_Bc_tuan_1_CKy_6_KONTUM_Book1 2" xfId="1667"/>
    <cellStyle name="T_bieu 1" xfId="1668"/>
    <cellStyle name="T_bieu 2" xfId="1669"/>
    <cellStyle name="T_bieu 4" xfId="1670"/>
    <cellStyle name="T_Bieu mau danh muc du an thuoc CTMTQG nam 2008" xfId="1671"/>
    <cellStyle name="T_Bieu mau danh muc du an thuoc CTMTQG nam 2008 2" xfId="1672"/>
    <cellStyle name="T_Bieu mau danh muc du an thuoc CTMTQG nam 2008_bieu tong hop" xfId="1673"/>
    <cellStyle name="T_Bieu mau danh muc du an thuoc CTMTQG nam 2008_Tong hop ra soat von ung 2011 -Chau" xfId="1674"/>
    <cellStyle name="T_Bieu mau danh muc du an thuoc CTMTQG nam 2008_Tong hop -Yte-Giao thong-Thuy loi-24-6" xfId="1675"/>
    <cellStyle name="T_Bieu tong hop nhu cau ung 2011 da chon loc -Mien nui" xfId="1676"/>
    <cellStyle name="T_Bieu tong hop nhu cau ung 2011 da chon loc -Mien nui 2" xfId="1677"/>
    <cellStyle name="T_Book1" xfId="1678"/>
    <cellStyle name="T_Book1_1" xfId="1679"/>
    <cellStyle name="T_Book1_1 2" xfId="1680"/>
    <cellStyle name="T_Book1_1_Bieu mau ung 2011-Mien Trung-TPCP-11-6" xfId="1681"/>
    <cellStyle name="T_Book1_1_bieu tong hop" xfId="1682"/>
    <cellStyle name="T_Book1_1_Bieu tong hop nhu cau ung 2011 da chon loc -Mien nui" xfId="1683"/>
    <cellStyle name="T_Book1_1_Bieu tong hop nhu cau ung 2011 da chon loc -Mien nui 2" xfId="1684"/>
    <cellStyle name="T_Book1_1_Book1" xfId="1685"/>
    <cellStyle name="T_Book1_1_CPK" xfId="1686"/>
    <cellStyle name="T_Book1_1_CPK 2" xfId="1687"/>
    <cellStyle name="T_Book1_1_Khoi luong cac hang muc chi tiet-702" xfId="1688"/>
    <cellStyle name="T_Book1_1_Khoi luong cac hang muc chi tiet-702 2" xfId="1689"/>
    <cellStyle name="T_Book1_1_khoiluongbdacdoa" xfId="1690"/>
    <cellStyle name="T_Book1_1_KL NT dap nen Dot 3" xfId="1691"/>
    <cellStyle name="T_Book1_1_KL NT dap nen Dot 3 2" xfId="1692"/>
    <cellStyle name="T_Book1_1_KL NT Dot 3" xfId="1693"/>
    <cellStyle name="T_Book1_1_KL NT Dot 3 2" xfId="1694"/>
    <cellStyle name="T_Book1_1_mau KL vach son" xfId="1695"/>
    <cellStyle name="T_Book1_1_mau KL vach son 2" xfId="1696"/>
    <cellStyle name="T_Book1_1_Nhu cau tam ung NSNN&amp;TPCP&amp;ODA theo tieu chi cua Bo (CV410_BKH-TH)_vung Tay Nguyen (11.6.2010)" xfId="1697"/>
    <cellStyle name="T_Book1_1_Thiet bi" xfId="1698"/>
    <cellStyle name="T_Book1_1_Thiet bi 2" xfId="1699"/>
    <cellStyle name="T_Book1_1_Thong ke cong" xfId="1700"/>
    <cellStyle name="T_Book1_1_Tong hop ra soat von ung 2011 -Chau" xfId="1701"/>
    <cellStyle name="T_Book1_1_Tong hop -Yte-Giao thong-Thuy loi-24-6" xfId="1702"/>
    <cellStyle name="T_Book1_2" xfId="1703"/>
    <cellStyle name="T_Book1_2_DTDuong dong tien -sua tham tra 2009 - luong 650" xfId="1704"/>
    <cellStyle name="T_Book1_Bao cao kiem toan kh 2010" xfId="1705"/>
    <cellStyle name="T_Book1_Bao cao kiem toan kh 2010 2" xfId="1706"/>
    <cellStyle name="T_Book1_Bieu mau danh muc du an thuoc CTMTQG nam 2008" xfId="1707"/>
    <cellStyle name="T_Book1_Bieu mau danh muc du an thuoc CTMTQG nam 2008 2" xfId="1708"/>
    <cellStyle name="T_Book1_Bieu mau danh muc du an thuoc CTMTQG nam 2008_bieu tong hop" xfId="1709"/>
    <cellStyle name="T_Book1_Bieu mau danh muc du an thuoc CTMTQG nam 2008_Tong hop ra soat von ung 2011 -Chau" xfId="1710"/>
    <cellStyle name="T_Book1_Bieu mau danh muc du an thuoc CTMTQG nam 2008_Tong hop -Yte-Giao thong-Thuy loi-24-6" xfId="1711"/>
    <cellStyle name="T_Book1_Bieu tong hop nhu cau ung 2011 da chon loc -Mien nui" xfId="1712"/>
    <cellStyle name="T_Book1_Bieu tong hop nhu cau ung 2011 da chon loc -Mien nui 2" xfId="1713"/>
    <cellStyle name="T_Book1_Book1" xfId="1714"/>
    <cellStyle name="T_Book1_Book1 2" xfId="1715"/>
    <cellStyle name="T_Book1_Book1_1" xfId="1716"/>
    <cellStyle name="T_Book1_Book1_1 2" xfId="1717"/>
    <cellStyle name="T_Book1_CPK" xfId="1718"/>
    <cellStyle name="T_Book1_DT492" xfId="1719"/>
    <cellStyle name="T_Book1_DT492 2" xfId="1720"/>
    <cellStyle name="T_Book1_DT972000" xfId="1721"/>
    <cellStyle name="T_Book1_DT972000 2" xfId="1722"/>
    <cellStyle name="T_Book1_DTDuong dong tien -sua tham tra 2009 - luong 650" xfId="1723"/>
    <cellStyle name="T_Book1_Du an khoi cong moi nam 2010" xfId="1724"/>
    <cellStyle name="T_Book1_Du an khoi cong moi nam 2010 2" xfId="1725"/>
    <cellStyle name="T_Book1_Du an khoi cong moi nam 2010_bieu tong hop" xfId="1726"/>
    <cellStyle name="T_Book1_Du an khoi cong moi nam 2010_Tong hop ra soat von ung 2011 -Chau" xfId="1727"/>
    <cellStyle name="T_Book1_Du an khoi cong moi nam 2010_Tong hop -Yte-Giao thong-Thuy loi-24-6" xfId="1728"/>
    <cellStyle name="T_Book1_Du toan khao sat (bo sung 2009)" xfId="1729"/>
    <cellStyle name="T_Book1_Du toan khao sat (bo sung 2009) 2" xfId="1730"/>
    <cellStyle name="T_Book1_Hang Tom goi9 9-07(Cau 12 sua)" xfId="1731"/>
    <cellStyle name="T_Book1_HECO-NR78-Gui a-Vinh(15-5-07)" xfId="1732"/>
    <cellStyle name="T_Book1_HECO-NR78-Gui a-Vinh(15-5-07) 2" xfId="1733"/>
    <cellStyle name="T_Book1_Ke hoach 2010 (theo doi)2" xfId="1734"/>
    <cellStyle name="T_Book1_Ke hoach 2010 (theo doi)2 2" xfId="1735"/>
    <cellStyle name="T_Book1_Ket qua phan bo von nam 2008" xfId="1736"/>
    <cellStyle name="T_Book1_Ket qua phan bo von nam 2008 2" xfId="1737"/>
    <cellStyle name="T_Book1_KH XDCB_2008 lan 2 sua ngay 10-11" xfId="1738"/>
    <cellStyle name="T_Book1_KH XDCB_2008 lan 2 sua ngay 10-11 2" xfId="1739"/>
    <cellStyle name="T_Book1_Khoi luong cac hang muc chi tiet-702" xfId="1740"/>
    <cellStyle name="T_Book1_Khoi luong chinh Hang Tom" xfId="1741"/>
    <cellStyle name="T_Book1_khoiluongbdacdoa" xfId="1742"/>
    <cellStyle name="T_Book1_khoiluongbdacdoa 2" xfId="1743"/>
    <cellStyle name="T_Book1_KL NT dap nen Dot 3" xfId="1744"/>
    <cellStyle name="T_Book1_KL NT Dot 3" xfId="1745"/>
    <cellStyle name="T_Book1_mau bieu doan giam sat 2010 (version 2)" xfId="1746"/>
    <cellStyle name="T_Book1_mau bieu doan giam sat 2010 (version 2) 2" xfId="1747"/>
    <cellStyle name="T_Book1_mau KL vach son" xfId="1748"/>
    <cellStyle name="T_Book1_Nhu cau von ung truoc 2011 Tha h Hoa + Nge An gui TW" xfId="1749"/>
    <cellStyle name="T_Book1_Nhu cau von ung truoc 2011 Tha h Hoa + Nge An gui TW 2" xfId="1750"/>
    <cellStyle name="T_Book1_QD UBND tinh" xfId="1751"/>
    <cellStyle name="T_Book1_QD UBND tinh 2" xfId="1752"/>
    <cellStyle name="T_Book1_San sat hach moi" xfId="1753"/>
    <cellStyle name="T_Book1_San sat hach moi 2" xfId="1754"/>
    <cellStyle name="T_Book1_Thiet bi" xfId="1755"/>
    <cellStyle name="T_Book1_Thong ke cong" xfId="1756"/>
    <cellStyle name="T_Book1_Thong ke cong 2" xfId="1757"/>
    <cellStyle name="T_Book1_Tong hop 3 tinh (11_5)-TTH-QN-QT" xfId="1758"/>
    <cellStyle name="T_Book1_ung 2011 - 11-6-Thanh hoa-Nghe an" xfId="1759"/>
    <cellStyle name="T_Book1_ung 2011 - 11-6-Thanh hoa-Nghe an 2" xfId="1760"/>
    <cellStyle name="T_Book1_ung truoc 2011 NSTW Thanh Hoa + Nge An gui Thu 12-5" xfId="1761"/>
    <cellStyle name="T_Book1_ung truoc 2011 NSTW Thanh Hoa + Nge An gui Thu 12-5 2" xfId="1762"/>
    <cellStyle name="T_Book1_VBPL kiểm toán Đầu tư XDCB 2010" xfId="1763"/>
    <cellStyle name="T_Book1_Worksheet in D: My Documents Luc Van ban xu ly Nam 2011 Bao cao ra soat tam ung TPCP" xfId="1764"/>
    <cellStyle name="T_Book1_Worksheet in D: My Documents Luc Van ban xu ly Nam 2011 Bao cao ra soat tam ung TPCP 2" xfId="1765"/>
    <cellStyle name="T_CDKT" xfId="1766"/>
    <cellStyle name="T_CDKT 2" xfId="1767"/>
    <cellStyle name="T_Chuan bi dau tu nam 2008" xfId="1768"/>
    <cellStyle name="T_Chuan bi dau tu nam 2008 2" xfId="1769"/>
    <cellStyle name="T_Chuan bi dau tu nam 2008_bieu tong hop" xfId="1770"/>
    <cellStyle name="T_Chuan bi dau tu nam 2008_Tong hop ra soat von ung 2011 -Chau" xfId="1771"/>
    <cellStyle name="T_Chuan bi dau tu nam 2008_Tong hop -Yte-Giao thong-Thuy loi-24-6" xfId="1772"/>
    <cellStyle name="T_Copy of Bao cao  XDCB 7 thang nam 2008_So KH&amp;DT SUA" xfId="1773"/>
    <cellStyle name="T_Copy of Bao cao  XDCB 7 thang nam 2008_So KH&amp;DT SUA 2" xfId="1774"/>
    <cellStyle name="T_Copy of Bao cao  XDCB 7 thang nam 2008_So KH&amp;DT SUA_bieu tong hop" xfId="1775"/>
    <cellStyle name="T_Copy of Bao cao  XDCB 7 thang nam 2008_So KH&amp;DT SUA_Tong hop ra soat von ung 2011 -Chau" xfId="1776"/>
    <cellStyle name="T_Copy of Bao cao  XDCB 7 thang nam 2008_So KH&amp;DT SUA_Tong hop -Yte-Giao thong-Thuy loi-24-6" xfId="1777"/>
    <cellStyle name="T_Copy of KS Du an dau tu" xfId="1778"/>
    <cellStyle name="T_Copy of KS Du an dau tu 2" xfId="1779"/>
    <cellStyle name="T_Cost for DD (summary)" xfId="1780"/>
    <cellStyle name="T_Cost for DD (summary) 2" xfId="1781"/>
    <cellStyle name="T_CPK" xfId="1782"/>
    <cellStyle name="T_CPK 2" xfId="1783"/>
    <cellStyle name="T_CTMTQG 2008" xfId="1784"/>
    <cellStyle name="T_CTMTQG 2008 2" xfId="1785"/>
    <cellStyle name="T_CTMTQG 2008_Bieu mau danh muc du an thuoc CTMTQG nam 2008" xfId="1786"/>
    <cellStyle name="T_CTMTQG 2008_Bieu mau danh muc du an thuoc CTMTQG nam 2008 2" xfId="1787"/>
    <cellStyle name="T_CTMTQG 2008_Hi-Tong hop KQ phan bo KH nam 08- LD fong giao 15-11-08" xfId="1788"/>
    <cellStyle name="T_CTMTQG 2008_Hi-Tong hop KQ phan bo KH nam 08- LD fong giao 15-11-08 2" xfId="1789"/>
    <cellStyle name="T_CTMTQG 2008_Ket qua thuc hien nam 2008" xfId="1790"/>
    <cellStyle name="T_CTMTQG 2008_Ket qua thuc hien nam 2008 2" xfId="1791"/>
    <cellStyle name="T_CTMTQG 2008_KH XDCB_2008 lan 1" xfId="1792"/>
    <cellStyle name="T_CTMTQG 2008_KH XDCB_2008 lan 1 2" xfId="1793"/>
    <cellStyle name="T_CTMTQG 2008_KH XDCB_2008 lan 1 sua ngay 27-10" xfId="1794"/>
    <cellStyle name="T_CTMTQG 2008_KH XDCB_2008 lan 1 sua ngay 27-10 2" xfId="1795"/>
    <cellStyle name="T_CTMTQG 2008_KH XDCB_2008 lan 2 sua ngay 10-11" xfId="1796"/>
    <cellStyle name="T_CTMTQG 2008_KH XDCB_2008 lan 2 sua ngay 10-11 2" xfId="1797"/>
    <cellStyle name="T_DT972000" xfId="1798"/>
    <cellStyle name="T_DTDuong dong tien -sua tham tra 2009 - luong 650" xfId="1799"/>
    <cellStyle name="T_DTDuong dong tien -sua tham tra 2009 - luong 650 2" xfId="1800"/>
    <cellStyle name="T_dtTL598G1." xfId="1801"/>
    <cellStyle name="T_Du an khoi cong moi nam 2010" xfId="1802"/>
    <cellStyle name="T_Du an khoi cong moi nam 2010 2" xfId="1803"/>
    <cellStyle name="T_Du an khoi cong moi nam 2010_bieu tong hop" xfId="1804"/>
    <cellStyle name="T_Du an khoi cong moi nam 2010_Tong hop ra soat von ung 2011 -Chau" xfId="1805"/>
    <cellStyle name="T_Du an khoi cong moi nam 2010_Tong hop -Yte-Giao thong-Thuy loi-24-6" xfId="1806"/>
    <cellStyle name="T_DU AN TKQH VA CHUAN BI DAU TU NAM 2007 sua ngay 9-11" xfId="1807"/>
    <cellStyle name="T_DU AN TKQH VA CHUAN BI DAU TU NAM 2007 sua ngay 9-11 2" xfId="1808"/>
    <cellStyle name="T_DU AN TKQH VA CHUAN BI DAU TU NAM 2007 sua ngay 9-11_Bieu mau danh muc du an thuoc CTMTQG nam 2008" xfId="1809"/>
    <cellStyle name="T_DU AN TKQH VA CHUAN BI DAU TU NAM 2007 sua ngay 9-11_Bieu mau danh muc du an thuoc CTMTQG nam 2008 2" xfId="1810"/>
    <cellStyle name="T_DU AN TKQH VA CHUAN BI DAU TU NAM 2007 sua ngay 9-11_Bieu mau danh muc du an thuoc CTMTQG nam 2008_bieu tong hop" xfId="1811"/>
    <cellStyle name="T_DU AN TKQH VA CHUAN BI DAU TU NAM 2007 sua ngay 9-11_Bieu mau danh muc du an thuoc CTMTQG nam 2008_Tong hop ra soat von ung 2011 -Chau" xfId="1812"/>
    <cellStyle name="T_DU AN TKQH VA CHUAN BI DAU TU NAM 2007 sua ngay 9-11_Bieu mau danh muc du an thuoc CTMTQG nam 2008_Tong hop -Yte-Giao thong-Thuy loi-24-6" xfId="1813"/>
    <cellStyle name="T_DU AN TKQH VA CHUAN BI DAU TU NAM 2007 sua ngay 9-11_Du an khoi cong moi nam 2010" xfId="1814"/>
    <cellStyle name="T_DU AN TKQH VA CHUAN BI DAU TU NAM 2007 sua ngay 9-11_Du an khoi cong moi nam 2010 2" xfId="1815"/>
    <cellStyle name="T_DU AN TKQH VA CHUAN BI DAU TU NAM 2007 sua ngay 9-11_Du an khoi cong moi nam 2010_bieu tong hop" xfId="1816"/>
    <cellStyle name="T_DU AN TKQH VA CHUAN BI DAU TU NAM 2007 sua ngay 9-11_Du an khoi cong moi nam 2010_Tong hop ra soat von ung 2011 -Chau" xfId="1817"/>
    <cellStyle name="T_DU AN TKQH VA CHUAN BI DAU TU NAM 2007 sua ngay 9-11_Du an khoi cong moi nam 2010_Tong hop -Yte-Giao thong-Thuy loi-24-6" xfId="1818"/>
    <cellStyle name="T_DU AN TKQH VA CHUAN BI DAU TU NAM 2007 sua ngay 9-11_Ket qua phan bo von nam 2008" xfId="1819"/>
    <cellStyle name="T_DU AN TKQH VA CHUAN BI DAU TU NAM 2007 sua ngay 9-11_Ket qua phan bo von nam 2008 2" xfId="1820"/>
    <cellStyle name="T_DU AN TKQH VA CHUAN BI DAU TU NAM 2007 sua ngay 9-11_KH XDCB_2008 lan 2 sua ngay 10-11" xfId="1821"/>
    <cellStyle name="T_DU AN TKQH VA CHUAN BI DAU TU NAM 2007 sua ngay 9-11_KH XDCB_2008 lan 2 sua ngay 10-11 2" xfId="1822"/>
    <cellStyle name="T_du toan dieu chinh  20-8-2006" xfId="1823"/>
    <cellStyle name="T_Du toan khao sat (bo sung 2009)" xfId="1824"/>
    <cellStyle name="T_du toan lan 3" xfId="1825"/>
    <cellStyle name="T_du toan lan 3 2" xfId="1826"/>
    <cellStyle name="T_Ke hoach KTXH  nam 2009_PKT thang 11 nam 2008" xfId="1827"/>
    <cellStyle name="T_Ke hoach KTXH  nam 2009_PKT thang 11 nam 2008 2" xfId="1828"/>
    <cellStyle name="T_Ke hoach KTXH  nam 2009_PKT thang 11 nam 2008_bieu tong hop" xfId="1829"/>
    <cellStyle name="T_Ke hoach KTXH  nam 2009_PKT thang 11 nam 2008_Tong hop ra soat von ung 2011 -Chau" xfId="1830"/>
    <cellStyle name="T_Ke hoach KTXH  nam 2009_PKT thang 11 nam 2008_Tong hop -Yte-Giao thong-Thuy loi-24-6" xfId="1831"/>
    <cellStyle name="T_Ket qua dau thau" xfId="1832"/>
    <cellStyle name="T_Ket qua dau thau 2" xfId="1833"/>
    <cellStyle name="T_Ket qua dau thau_bieu tong hop" xfId="1834"/>
    <cellStyle name="T_Ket qua dau thau_Tong hop ra soat von ung 2011 -Chau" xfId="1835"/>
    <cellStyle name="T_Ket qua dau thau_Tong hop -Yte-Giao thong-Thuy loi-24-6" xfId="1836"/>
    <cellStyle name="T_Ket qua phan bo von nam 2008" xfId="1837"/>
    <cellStyle name="T_Ket qua phan bo von nam 2008 2" xfId="1838"/>
    <cellStyle name="T_KH XDCB_2008 lan 2 sua ngay 10-11" xfId="1839"/>
    <cellStyle name="T_KH XDCB_2008 lan 2 sua ngay 10-11 2" xfId="1840"/>
    <cellStyle name="T_Khao satD1" xfId="1841"/>
    <cellStyle name="T_Khoi luong cac hang muc chi tiet-702" xfId="1842"/>
    <cellStyle name="T_Khoi luong cac hang muc chi tiet-702 2" xfId="1843"/>
    <cellStyle name="T_KL NT dap nen Dot 3" xfId="1844"/>
    <cellStyle name="T_KL NT Dot 3" xfId="1845"/>
    <cellStyle name="T_Kl VL ranh" xfId="1846"/>
    <cellStyle name="T_KLNMD1" xfId="1847"/>
    <cellStyle name="T_mau bieu doan giam sat 2010 (version 2)" xfId="1848"/>
    <cellStyle name="T_mau bieu doan giam sat 2010 (version 2) 2" xfId="1849"/>
    <cellStyle name="T_mau KL vach son" xfId="1850"/>
    <cellStyle name="T_mau KL vach son 2" xfId="1851"/>
    <cellStyle name="T_Me_Tri_6_07" xfId="1852"/>
    <cellStyle name="T_N2 thay dat (N1-1)" xfId="1853"/>
    <cellStyle name="T_Phuong an can doi nam 2008" xfId="1854"/>
    <cellStyle name="T_Phuong an can doi nam 2008 2" xfId="1855"/>
    <cellStyle name="T_Phuong an can doi nam 2008_bieu tong hop" xfId="1856"/>
    <cellStyle name="T_Phuong an can doi nam 2008_Tong hop ra soat von ung 2011 -Chau" xfId="1857"/>
    <cellStyle name="T_Phuong an can doi nam 2008_Tong hop -Yte-Giao thong-Thuy loi-24-6" xfId="1858"/>
    <cellStyle name="T_San sat hach moi" xfId="1859"/>
    <cellStyle name="T_Seagame(BTL)" xfId="1860"/>
    <cellStyle name="T_So GTVT" xfId="1861"/>
    <cellStyle name="T_So GTVT_bieu tong hop" xfId="1862"/>
    <cellStyle name="T_So GTVT_bieu tong hop 2" xfId="1863"/>
    <cellStyle name="T_So GTVT_Tong hop ra soat von ung 2011 -Chau" xfId="1864"/>
    <cellStyle name="T_So GTVT_Tong hop ra soat von ung 2011 -Chau 2" xfId="1865"/>
    <cellStyle name="T_So GTVT_Tong hop -Yte-Giao thong-Thuy loi-24-6" xfId="1866"/>
    <cellStyle name="T_So GTVT_Tong hop -Yte-Giao thong-Thuy loi-24-6 2" xfId="1867"/>
    <cellStyle name="T_SS BVTC cau va cong tuyen Le Chan" xfId="1868"/>
    <cellStyle name="T_Tay Bac 1" xfId="1869"/>
    <cellStyle name="T_Tay Bac 1 2" xfId="1870"/>
    <cellStyle name="T_Tay Bac 1_Bao cao kiem toan kh 2010" xfId="1871"/>
    <cellStyle name="T_Tay Bac 1_Book1" xfId="1872"/>
    <cellStyle name="T_Tay Bac 1_Ke hoach 2010 (theo doi)2" xfId="1873"/>
    <cellStyle name="T_Tay Bac 1_QD UBND tinh" xfId="1874"/>
    <cellStyle name="T_Tay Bac 1_Worksheet in D: My Documents Luc Van ban xu ly Nam 2011 Bao cao ra soat tam ung TPCP" xfId="1875"/>
    <cellStyle name="T_TDT + duong(8-5-07)" xfId="1876"/>
    <cellStyle name="T_tham_tra_du_toan" xfId="1877"/>
    <cellStyle name="T_Thiet bi" xfId="1878"/>
    <cellStyle name="T_Thiet bi 2" xfId="1879"/>
    <cellStyle name="T_THKL 1303" xfId="1880"/>
    <cellStyle name="T_Thong ke" xfId="1881"/>
    <cellStyle name="T_Thong ke cong" xfId="1882"/>
    <cellStyle name="T_thong ke giao dan sinh" xfId="1883"/>
    <cellStyle name="T_tien2004" xfId="1884"/>
    <cellStyle name="T_TKE-ChoDon-sua" xfId="1885"/>
    <cellStyle name="T_Tong hop 3 tinh (11_5)-TTH-QN-QT" xfId="1886"/>
    <cellStyle name="T_Tong hop 3 tinh (11_5)-TTH-QN-QT 2" xfId="1887"/>
    <cellStyle name="T_Tong hop khoi luong Dot 3" xfId="1888"/>
    <cellStyle name="T_Tong hop theo doi von TPCP" xfId="1889"/>
    <cellStyle name="T_Tong hop theo doi von TPCP 2" xfId="1890"/>
    <cellStyle name="T_Tong hop theo doi von TPCP_Bao cao kiem toan kh 2010" xfId="1891"/>
    <cellStyle name="T_Tong hop theo doi von TPCP_Bao cao kiem toan kh 2010 2" xfId="1892"/>
    <cellStyle name="T_Tong hop theo doi von TPCP_Ke hoach 2010 (theo doi)2" xfId="1893"/>
    <cellStyle name="T_Tong hop theo doi von TPCP_Ke hoach 2010 (theo doi)2 2" xfId="1894"/>
    <cellStyle name="T_Tong hop theo doi von TPCP_QD UBND tinh" xfId="1895"/>
    <cellStyle name="T_Tong hop theo doi von TPCP_QD UBND tinh 2" xfId="1896"/>
    <cellStyle name="T_Tong hop theo doi von TPCP_Worksheet in D: My Documents Luc Van ban xu ly Nam 2011 Bao cao ra soat tam ung TPCP" xfId="1897"/>
    <cellStyle name="T_Tong hop theo doi von TPCP_Worksheet in D: My Documents Luc Van ban xu ly Nam 2011 Bao cao ra soat tam ung TPCP 2" xfId="1898"/>
    <cellStyle name="T_VBPL kiểm toán Đầu tư XDCB 2010" xfId="1899"/>
    <cellStyle name="T_Worksheet in D: ... Hoan thien 5goi theo KL cu 28-06 4.Cong 5goi Coc 33-Km1+490.13 Cong coc 33-km1+490.13" xfId="1900"/>
    <cellStyle name="T_ÿÿÿÿÿ" xfId="1901"/>
    <cellStyle name="Text" xfId="1902"/>
    <cellStyle name="Text Indent A" xfId="1903"/>
    <cellStyle name="Text Indent A 2" xfId="1904"/>
    <cellStyle name="Text Indent B" xfId="1905"/>
    <cellStyle name="Text Indent B 2" xfId="1906"/>
    <cellStyle name="Text Indent C" xfId="1907"/>
    <cellStyle name="Text Indent C 2" xfId="1908"/>
    <cellStyle name="Text_Bao cao doan cong tac cua Bo thang 4-2010" xfId="1909"/>
    <cellStyle name="th" xfId="1910"/>
    <cellStyle name="than" xfId="1911"/>
    <cellStyle name="thanh" xfId="1912"/>
    <cellStyle name="þ_x001d_ð¤_x000c_¯þ_x0014__x000d_¨þU_x0001_À_x0004_ _x0015__x000f__x0001__x0001_" xfId="1913"/>
    <cellStyle name="þ_x001d_ð¤_x000c_¯þ_x0014__x000d_¨þU_x0001_À_x0004_ _x0015__x000f__x0001__x0001_ 2" xfId="1914"/>
    <cellStyle name="þ_x001d_ð·_x000c_æþ'_x000d_ßþU_x0001_Ø_x0005_ü_x0014__x0007__x0001__x0001_" xfId="1915"/>
    <cellStyle name="þ_x001d_ðÇ%Uý—&amp;Hý9_x0008_Ÿ s_x000a__x0007__x0001__x0001_" xfId="1916"/>
    <cellStyle name="þ_x001d_ðÇ%Uý—&amp;Hý9_x0008_Ÿ s_x000a__x0007__x0001__x0001_ 2" xfId="1917"/>
    <cellStyle name="þ_x001d_ðK_x000c_Fý_x001b__x000d_9ýU_x0001_Ð_x0008_¦)_x0007__x0001__x0001_" xfId="1918"/>
    <cellStyle name="þ_x001d_ðK_x000c_Fý_x001b__x000d_9ýU_x0001_Ð_x0008_¦)_x0007__x0001__x0001_ 2" xfId="1919"/>
    <cellStyle name="thuong-10" xfId="1920"/>
    <cellStyle name="thuong-11" xfId="1921"/>
    <cellStyle name="Thuyet minh" xfId="1922"/>
    <cellStyle name="Tien1" xfId="1923"/>
    <cellStyle name="Tiêu đề" xfId="1924"/>
    <cellStyle name="Times New Roman" xfId="1925"/>
    <cellStyle name="Tính toán" xfId="1926"/>
    <cellStyle name="tit1" xfId="1927"/>
    <cellStyle name="tit2" xfId="1928"/>
    <cellStyle name="tit3" xfId="1929"/>
    <cellStyle name="tit4" xfId="1930"/>
    <cellStyle name="Title 2" xfId="1931"/>
    <cellStyle name="Tổng" xfId="1932"/>
    <cellStyle name="Tongcong" xfId="1933"/>
    <cellStyle name="Tốt" xfId="1934"/>
    <cellStyle name="Total 2" xfId="1935"/>
    <cellStyle name="trang" xfId="1936"/>
    <cellStyle name="Trung tính" xfId="1937"/>
    <cellStyle name="tt1" xfId="1938"/>
    <cellStyle name="Tuan" xfId="1939"/>
    <cellStyle name="Tusental (0)_pldt" xfId="1940"/>
    <cellStyle name="Tusental_pldt" xfId="1941"/>
    <cellStyle name="u" xfId="1942"/>
    <cellStyle name="ux_3_¼­¿ï-¾È»ê" xfId="1943"/>
    <cellStyle name="Valuta (0)_CALPREZZ" xfId="1944"/>
    <cellStyle name="Valuta_ PESO ELETTR." xfId="1945"/>
    <cellStyle name="Văn bản Cảnh báo" xfId="1946"/>
    <cellStyle name="Văn bản Giải thích" xfId="1947"/>
    <cellStyle name="VANG1" xfId="1948"/>
    <cellStyle name="viet" xfId="1949"/>
    <cellStyle name="viet2" xfId="1950"/>
    <cellStyle name="Vietnam 1" xfId="1951"/>
    <cellStyle name="VN new romanNormal" xfId="1952"/>
    <cellStyle name="vn time 10" xfId="1953"/>
    <cellStyle name="Vn Time 13" xfId="1954"/>
    <cellStyle name="Vn Time 13 2" xfId="1955"/>
    <cellStyle name="Vn Time 14" xfId="1956"/>
    <cellStyle name="VN time new roman" xfId="1957"/>
    <cellStyle name="vn_time" xfId="1958"/>
    <cellStyle name="vnbo" xfId="1959"/>
    <cellStyle name="vnhead1" xfId="1960"/>
    <cellStyle name="vnhead2" xfId="1961"/>
    <cellStyle name="vnhead3" xfId="1962"/>
    <cellStyle name="vnhead4" xfId="1963"/>
    <cellStyle name="vntxt1" xfId="1964"/>
    <cellStyle name="vntxt1 2" xfId="1965"/>
    <cellStyle name="vntxt2" xfId="1966"/>
    <cellStyle name="W?hrung [0]_35ERI8T2gbIEMixb4v26icuOo" xfId="1967"/>
    <cellStyle name="W?hrung_35ERI8T2gbIEMixb4v26icuOo" xfId="1968"/>
    <cellStyle name="Währung [0]_68574_Materialbedarfsliste" xfId="1969"/>
    <cellStyle name="Währung_68574_Materialbedarfsliste" xfId="1970"/>
    <cellStyle name="Walutowy [0]_Invoices2001Slovakia" xfId="1971"/>
    <cellStyle name="Walutowy_Invoices2001Slovakia" xfId="1972"/>
    <cellStyle name="Warning Text 2" xfId="1973"/>
    <cellStyle name="wrap" xfId="1974"/>
    <cellStyle name="Wไhrung [0]_35ERI8T2gbIEMixb4v26icuOo" xfId="1975"/>
    <cellStyle name="Wไhrung_35ERI8T2gbIEMixb4v26icuOo" xfId="1976"/>
    <cellStyle name="Xấu" xfId="1977"/>
    <cellStyle name="xuan" xfId="1978"/>
    <cellStyle name="y" xfId="1979"/>
    <cellStyle name="y 2" xfId="1980"/>
    <cellStyle name="Ý kh¸c_B¶ng 1 (2)" xfId="1981"/>
    <cellStyle name="เครื่องหมายสกุลเงิน [0]_FTC_OFFER" xfId="1982"/>
    <cellStyle name="เครื่องหมายสกุลเงิน_FTC_OFFER" xfId="1983"/>
    <cellStyle name="ปกติ_FTC_OFFER" xfId="1984"/>
    <cellStyle name=" [0.00]_ Att. 1- Cover" xfId="1985"/>
    <cellStyle name="_ Att. 1- Cover" xfId="1986"/>
    <cellStyle name="?_ Att. 1- Cover" xfId="1987"/>
    <cellStyle name="똿뗦먛귟 [0.00]_PRODUCT DETAIL Q1" xfId="1988"/>
    <cellStyle name="똿뗦먛귟_PRODUCT DETAIL Q1" xfId="1989"/>
    <cellStyle name="믅됞 [0.00]_PRODUCT DETAIL Q1" xfId="1990"/>
    <cellStyle name="믅됞_PRODUCT DETAIL Q1" xfId="1991"/>
    <cellStyle name="백분율_††††† " xfId="1992"/>
    <cellStyle name="뷭?_BOOKSHIP" xfId="1993"/>
    <cellStyle name="안건회계법인" xfId="1994"/>
    <cellStyle name="콤마 [ - 유형1" xfId="1995"/>
    <cellStyle name="콤마 [ - 유형2" xfId="1996"/>
    <cellStyle name="콤마 [ - 유형3" xfId="1997"/>
    <cellStyle name="콤마 [ - 유형4" xfId="1998"/>
    <cellStyle name="콤마 [ - 유형5" xfId="1999"/>
    <cellStyle name="콤마 [ - 유형6" xfId="2000"/>
    <cellStyle name="콤마 [ - 유형7" xfId="2001"/>
    <cellStyle name="콤마 [ - 유형8" xfId="2002"/>
    <cellStyle name="콤마 [0]_ 비목별 월별기술 " xfId="2003"/>
    <cellStyle name="콤마_ 비목별 월별기술 " xfId="2004"/>
    <cellStyle name="통화 [0]_††††† " xfId="2005"/>
    <cellStyle name="통화_††††† " xfId="2006"/>
    <cellStyle name="표준_ 97년 경영분석(안)" xfId="2007"/>
    <cellStyle name="표줠_Sheet1_1_총괄표 (수출입) (2)" xfId="2008"/>
    <cellStyle name="一般_00Q3902REV.1" xfId="2009"/>
    <cellStyle name="千分位[0]_00Q3902REV.1" xfId="2010"/>
    <cellStyle name="千分位_00Q3902REV.1" xfId="2011"/>
    <cellStyle name="桁区切り [0.00]_BE-BQ" xfId="2012"/>
    <cellStyle name="桁区切り_BE-BQ" xfId="2013"/>
    <cellStyle name="標準_(A1)BOQ " xfId="2014"/>
    <cellStyle name="貨幣 [0]_00Q3902REV.1" xfId="2015"/>
    <cellStyle name="貨幣[0]_BRE" xfId="2016"/>
    <cellStyle name="貨幣_00Q3902REV.1" xfId="2017"/>
    <cellStyle name="通貨 [0.00]_BE-BQ" xfId="2018"/>
    <cellStyle name="通貨_BE-BQ" xfId="20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31</xdr:row>
      <xdr:rowOff>0</xdr:rowOff>
    </xdr:from>
    <xdr:to>
      <xdr:col>1</xdr:col>
      <xdr:colOff>361950</xdr:colOff>
      <xdr:row>31</xdr:row>
      <xdr:rowOff>40259</xdr:rowOff>
    </xdr:to>
    <xdr:sp macro="" textlink="">
      <xdr:nvSpPr>
        <xdr:cNvPr id="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0"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2"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3"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5"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6"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7"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8"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3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4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47"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48"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49"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50"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51"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52"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53"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54"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55" name="Text Box 3"/>
        <xdr:cNvSpPr txBox="1">
          <a:spLocks noChangeArrowheads="1"/>
        </xdr:cNvSpPr>
      </xdr:nvSpPr>
      <xdr:spPr bwMode="auto">
        <a:xfrm>
          <a:off x="466725" y="6829425"/>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5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5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5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5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6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7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7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7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7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74"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75"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76"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77"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78"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79"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80"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81"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82"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8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1"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2"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3"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4"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5"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6"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7"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8"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99"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00" name="Text Box 3"/>
        <xdr:cNvSpPr txBox="1">
          <a:spLocks noChangeArrowheads="1"/>
        </xdr:cNvSpPr>
      </xdr:nvSpPr>
      <xdr:spPr bwMode="auto">
        <a:xfrm>
          <a:off x="466725" y="6829425"/>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1"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2"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3"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4"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5"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6"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7"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8"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109" name="Text Box 3"/>
        <xdr:cNvSpPr txBox="1">
          <a:spLocks noChangeArrowheads="1"/>
        </xdr:cNvSpPr>
      </xdr:nvSpPr>
      <xdr:spPr bwMode="auto">
        <a:xfrm>
          <a:off x="466725" y="6829425"/>
          <a:ext cx="361950" cy="39497"/>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1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2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28"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29"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0"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1"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2"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3"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4"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5"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36"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3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3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3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4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5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5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5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5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5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55"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56"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57"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58"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59"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60"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61"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62"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63"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6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6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6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6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6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6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2"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3"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4"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5"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6"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7"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8"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79"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80"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181" name="Text Box 3"/>
        <xdr:cNvSpPr txBox="1">
          <a:spLocks noChangeArrowheads="1"/>
        </xdr:cNvSpPr>
      </xdr:nvSpPr>
      <xdr:spPr bwMode="auto">
        <a:xfrm>
          <a:off x="466725" y="7000875"/>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2"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3"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4"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5"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6"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7"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8"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89"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190" name="Text Box 3"/>
        <xdr:cNvSpPr txBox="1">
          <a:spLocks noChangeArrowheads="1"/>
        </xdr:cNvSpPr>
      </xdr:nvSpPr>
      <xdr:spPr bwMode="auto">
        <a:xfrm>
          <a:off x="466725" y="7000875"/>
          <a:ext cx="361950" cy="39116"/>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0</xdr:colOff>
          <xdr:row>40</xdr:row>
          <xdr:rowOff>0</xdr:rowOff>
        </xdr:from>
        <xdr:to>
          <xdr:col>1</xdr:col>
          <xdr:colOff>114300</xdr:colOff>
          <xdr:row>40</xdr:row>
          <xdr:rowOff>0</xdr:rowOff>
        </xdr:to>
        <xdr:sp macro="" textlink="">
          <xdr:nvSpPr>
            <xdr:cNvPr id="69633" name="Object 1" hidden="1">
              <a:extLst>
                <a:ext uri="{63B3BB69-23CF-44E3-9099-C40C66FF867C}">
                  <a14:compatExt spid="_x0000_s69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1</xdr:col>
          <xdr:colOff>114300</xdr:colOff>
          <xdr:row>40</xdr:row>
          <xdr:rowOff>0</xdr:rowOff>
        </xdr:to>
        <xdr:sp macro="" textlink="">
          <xdr:nvSpPr>
            <xdr:cNvPr id="69634" name="Object 2" hidden="1">
              <a:extLst>
                <a:ext uri="{63B3BB69-23CF-44E3-9099-C40C66FF867C}">
                  <a14:compatExt spid="_x0000_s69634"/>
                </a:ext>
              </a:extLst>
            </xdr:cNvPr>
            <xdr:cNvSpPr/>
          </xdr:nvSpPr>
          <xdr:spPr>
            <a:xfrm>
              <a:off x="0" y="0"/>
              <a:ext cx="0" cy="0"/>
            </a:xfrm>
            <a:prstGeom prst="rect">
              <a:avLst/>
            </a:prstGeom>
          </xdr:spPr>
        </xdr:sp>
        <xdr:clientData/>
      </xdr:twoCellAnchor>
    </mc:Choice>
    <mc:Fallback/>
  </mc:AlternateContent>
  <xdr:twoCellAnchor editAs="oneCell">
    <xdr:from>
      <xdr:col>0</xdr:col>
      <xdr:colOff>609600</xdr:colOff>
      <xdr:row>31</xdr:row>
      <xdr:rowOff>0</xdr:rowOff>
    </xdr:from>
    <xdr:to>
      <xdr:col>1</xdr:col>
      <xdr:colOff>361950</xdr:colOff>
      <xdr:row>31</xdr:row>
      <xdr:rowOff>40259</xdr:rowOff>
    </xdr:to>
    <xdr:sp macro="" textlink="">
      <xdr:nvSpPr>
        <xdr:cNvPr id="19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19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0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1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1"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2"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3"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4"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5"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6"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7"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8"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19"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2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3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38"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39"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0"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1"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2"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3"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4"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5"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39116</xdr:rowOff>
    </xdr:to>
    <xdr:sp macro="" textlink="">
      <xdr:nvSpPr>
        <xdr:cNvPr id="246" name="Text Box 3"/>
        <xdr:cNvSpPr txBox="1">
          <a:spLocks noChangeArrowheads="1"/>
        </xdr:cNvSpPr>
      </xdr:nvSpPr>
      <xdr:spPr bwMode="auto">
        <a:xfrm>
          <a:off x="400050" y="7048500"/>
          <a:ext cx="361950" cy="39116"/>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4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4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4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5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6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6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6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6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6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65"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66"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67"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68"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69"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70"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71"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72"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73"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7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7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7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7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7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7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2"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3"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4"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5"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6"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7"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8"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89"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90"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40259</xdr:rowOff>
    </xdr:to>
    <xdr:sp macro="" textlink="">
      <xdr:nvSpPr>
        <xdr:cNvPr id="291" name="Text Box 3"/>
        <xdr:cNvSpPr txBox="1">
          <a:spLocks noChangeArrowheads="1"/>
        </xdr:cNvSpPr>
      </xdr:nvSpPr>
      <xdr:spPr bwMode="auto">
        <a:xfrm>
          <a:off x="400050" y="7048500"/>
          <a:ext cx="361950" cy="40259"/>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2"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3"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4"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5"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6"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7"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8"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299"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31</xdr:row>
      <xdr:rowOff>0</xdr:rowOff>
    </xdr:from>
    <xdr:to>
      <xdr:col>1</xdr:col>
      <xdr:colOff>361950</xdr:colOff>
      <xdr:row>31</xdr:row>
      <xdr:rowOff>39497</xdr:rowOff>
    </xdr:to>
    <xdr:sp macro="" textlink="">
      <xdr:nvSpPr>
        <xdr:cNvPr id="300" name="Text Box 3"/>
        <xdr:cNvSpPr txBox="1">
          <a:spLocks noChangeArrowheads="1"/>
        </xdr:cNvSpPr>
      </xdr:nvSpPr>
      <xdr:spPr bwMode="auto">
        <a:xfrm>
          <a:off x="400050" y="7048500"/>
          <a:ext cx="361950" cy="39497"/>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0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1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19"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0"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1"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2"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3"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4"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5"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6"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27"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2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2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3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4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4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4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4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4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4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46"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47"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48"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49"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50"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51"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52"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53"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54"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5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5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5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5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5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3"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4"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5"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6"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7"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8"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69"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70"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71"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40259</xdr:rowOff>
    </xdr:to>
    <xdr:sp macro="" textlink="">
      <xdr:nvSpPr>
        <xdr:cNvPr id="372" name="Text Box 3"/>
        <xdr:cNvSpPr txBox="1">
          <a:spLocks noChangeArrowheads="1"/>
        </xdr:cNvSpPr>
      </xdr:nvSpPr>
      <xdr:spPr bwMode="auto">
        <a:xfrm>
          <a:off x="400050" y="7219950"/>
          <a:ext cx="361950" cy="40259"/>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3"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4"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5"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6"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7"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8"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79"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80"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xdr:twoCellAnchor editAs="oneCell">
    <xdr:from>
      <xdr:col>0</xdr:col>
      <xdr:colOff>609600</xdr:colOff>
      <xdr:row>32</xdr:row>
      <xdr:rowOff>0</xdr:rowOff>
    </xdr:from>
    <xdr:to>
      <xdr:col>1</xdr:col>
      <xdr:colOff>361950</xdr:colOff>
      <xdr:row>32</xdr:row>
      <xdr:rowOff>39116</xdr:rowOff>
    </xdr:to>
    <xdr:sp macro="" textlink="">
      <xdr:nvSpPr>
        <xdr:cNvPr id="381" name="Text Box 3"/>
        <xdr:cNvSpPr txBox="1">
          <a:spLocks noChangeArrowheads="1"/>
        </xdr:cNvSpPr>
      </xdr:nvSpPr>
      <xdr:spPr bwMode="auto">
        <a:xfrm>
          <a:off x="400050" y="7219950"/>
          <a:ext cx="361950" cy="39116"/>
        </a:xfrm>
        <a:prstGeom prst="rect">
          <a:avLst/>
        </a:prstGeom>
        <a:noFill/>
        <a:ln w="9525">
          <a:noFill/>
          <a:miter lim="800000"/>
          <a:headEnd/>
          <a:tailEnd/>
        </a:ln>
      </xdr:spPr>
    </xdr:sp>
    <xdr:clientData/>
  </xdr:twoCellAnchor>
  <mc:AlternateContent xmlns:mc="http://schemas.openxmlformats.org/markup-compatibility/2006">
    <mc:Choice xmlns:a14="http://schemas.microsoft.com/office/drawing/2010/main" Requires="a14">
      <xdr:twoCellAnchor>
        <xdr:from>
          <xdr:col>1</xdr:col>
          <xdr:colOff>0</xdr:colOff>
          <xdr:row>40</xdr:row>
          <xdr:rowOff>0</xdr:rowOff>
        </xdr:from>
        <xdr:to>
          <xdr:col>1</xdr:col>
          <xdr:colOff>114300</xdr:colOff>
          <xdr:row>40</xdr:row>
          <xdr:rowOff>0</xdr:rowOff>
        </xdr:to>
        <xdr:sp macro="" textlink="">
          <xdr:nvSpPr>
            <xdr:cNvPr id="69636" name="Object 4" hidden="1">
              <a:extLst>
                <a:ext uri="{63B3BB69-23CF-44E3-9099-C40C66FF867C}">
                  <a14:compatExt spid="_x0000_s69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1</xdr:col>
          <xdr:colOff>114300</xdr:colOff>
          <xdr:row>40</xdr:row>
          <xdr:rowOff>0</xdr:rowOff>
        </xdr:to>
        <xdr:sp macro="" textlink="">
          <xdr:nvSpPr>
            <xdr:cNvPr id="69637" name="Object 5" hidden="1">
              <a:extLst>
                <a:ext uri="{63B3BB69-23CF-44E3-9099-C40C66FF867C}">
                  <a14:compatExt spid="_x0000_s6963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20PC\Downloads\BC%20PGD\T&#7843;i%20v&#7873;%202013-2014\BC%20cuoi%20nam\Hoc%20tap\Thuctap\moi1\PT%20KIEN\KIEN\tnhoche\Cong%20trinh\Son%20La\Du%20toan\Congviec\Tam.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TC\Downloads\3_2%20Phu%20luc%20UBND_QD%20chu&#7849;n%20xong.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dministrator\Downloads\1.%20KH%20DTC%20KH%202019%20(10-1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y%20Documents/Hung/2012/Danh%20gia%20KTXH/nam%202012/My%20Documents/Luong/My%20Documents/H&#187;ng/Sonla/DTOAN/phong%20nen/DT-THL7.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Thn-ChsTQ"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8\c&#244;ng%20tr&#236;nh\n&#7841;o%20v&#233;t\BangGiaCaMay_TT01-2015.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UTOAN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ownloads\DAT2021_H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dministrator\Downloads\BIEU%20phan%20bo%20chi%20tiet%202022%20hang_sau%20thao%20luan_.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istrator\Downloads\BIEU%20chi%20tiet%20LAP%20DT%202021_%20thu%2012_12_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HTC\Downloads\3_2%20Phu%20luc%20UBND_Q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1_TT342"/>
      <sheetName val="BIEU 29_TT342"/>
      <sheetName val="bieu 16"/>
      <sheetName val="32"/>
      <sheetName val="biểu 04"/>
      <sheetName val="mau 06"/>
      <sheetName val="Mau 05 UB (2)"/>
      <sheetName val="08 XA"/>
      <sheetName val="Sheet1"/>
    </sheetNames>
    <sheetDataSet>
      <sheetData sheetId="0" refreshError="1"/>
      <sheetData sheetId="1" refreshError="1"/>
      <sheetData sheetId="2" refreshError="1"/>
      <sheetData sheetId="3" refreshError="1"/>
      <sheetData sheetId="4"/>
      <sheetData sheetId="5" refreshError="1"/>
      <sheetData sheetId="6">
        <row r="65">
          <cell r="V65">
            <v>5101.2</v>
          </cell>
        </row>
        <row r="414">
          <cell r="V414">
            <v>2661</v>
          </cell>
        </row>
      </sheetData>
      <sheetData sheetId="7"/>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2. Bo"/>
      <sheetName val="BC HD"/>
      <sheetName val="B01. Tong hop"/>
      <sheetName val="Phu luc_BC"/>
      <sheetName val="Bieu 2019"/>
      <sheetName val="Bieu 02. Chi tiet CĐNSĐP 2019"/>
      <sheetName val="B03. Phan cap 2019"/>
      <sheetName val="Bieu 04. CT MTQG 2019"/>
      <sheetName val="Bieu 05. Chi tiet von CTMTQG"/>
      <sheetName val="B06. Thu de lai 2016 - 2020"/>
      <sheetName val="Bieu 07. QD22"/>
      <sheetName val="Nợ đọng chốt"/>
      <sheetName val="2017"/>
      <sheetName val="CT mới"/>
      <sheetName val="Nợ KCHKM"/>
      <sheetName val="B04. Vay 2016 - 2020"/>
      <sheetName val="Bieu TT 82-2017"/>
    </sheetNames>
    <sheetDataSet>
      <sheetData sheetId="0" refreshError="1"/>
      <sheetData sheetId="1" refreshError="1"/>
      <sheetData sheetId="2" refreshError="1"/>
      <sheetData sheetId="3" refreshError="1"/>
      <sheetData sheetId="4" refreshError="1"/>
      <sheetData sheetId="5" refreshError="1">
        <row r="68">
          <cell r="B68" t="str">
            <v>Thị trấn</v>
          </cell>
        </row>
        <row r="69">
          <cell r="B69" t="str">
            <v>Sa Nghĩa</v>
          </cell>
        </row>
        <row r="70">
          <cell r="B70" t="str">
            <v>Sa Bình</v>
          </cell>
        </row>
        <row r="71">
          <cell r="B71" t="str">
            <v>Sa Sơn</v>
          </cell>
        </row>
        <row r="72">
          <cell r="B72" t="str">
            <v>Sa Nhơn</v>
          </cell>
        </row>
        <row r="73">
          <cell r="B73" t="str">
            <v>Ya Ly</v>
          </cell>
        </row>
        <row r="74">
          <cell r="B74" t="str">
            <v xml:space="preserve">Ya Xiêr </v>
          </cell>
        </row>
        <row r="75">
          <cell r="B75" t="str">
            <v>Rờ Kơi</v>
          </cell>
        </row>
        <row r="76">
          <cell r="B76" t="str">
            <v>Mô Rai</v>
          </cell>
        </row>
        <row r="77">
          <cell r="B77" t="str">
            <v>Hơ Moong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 val="Dinh muc du toan"/>
      <sheetName val="Config"/>
      <sheetName val="AutoClose"/>
      <sheetName val="NC"/>
      <sheetName val="M"/>
      <sheetName val="TSo"/>
      <sheetName val="PC"/>
      <sheetName val="Vua"/>
      <sheetName val="KL"/>
      <sheetName val="VC"/>
      <sheetName val="DGduong"/>
      <sheetName val="DT"/>
      <sheetName val="TH"/>
      <sheetName val="Thu"/>
      <sheetName val="XXXXXXXX"/>
      <sheetName val="total"/>
      <sheetName val="(viet)"/>
      <sheetName val="dictionary"/>
      <sheetName val="New(eng)"/>
      <sheetName val="RFI(eng)SW-sun"/>
      <sheetName val="RFI(eng)HVP-sun"/>
      <sheetName val="RFI(eng)SW"/>
      <sheetName val="RFI(eng)SW (2)"/>
      <sheetName val="RFI(eng)HVP"/>
      <sheetName val="RFI(eng)Lab."/>
      <sheetName val="RFI -add"/>
      <sheetName val="TSCD DUNG CHUNG "/>
      <sheetName val="KHKHAUHAOTSCHUNG"/>
      <sheetName val="TSCDTOAN NHA MAY"/>
      <sheetName val="CPSXTOAN BO SP"/>
      <sheetName val="PBCPCHUNG CHO CAC DTUONG"/>
      <sheetName val="XL4Poppy"/>
      <sheetName val="VLieu"/>
      <sheetName val="CT"/>
      <sheetName val="DToan"/>
      <sheetName val="Tong hop"/>
      <sheetName val="Cuoc V.chuyen"/>
      <sheetName val="Sheet7"/>
      <sheetName val="Sheet8"/>
      <sheetName val="Sheet9"/>
      <sheetName val="TH An ca"/>
      <sheetName val="XN SL An ca"/>
      <sheetName val="Dang ky an ca"/>
      <sheetName val="Dang ky an ca T2"/>
      <sheetName val="Sheet2"/>
      <sheetName val="Sheet3"/>
      <sheetName val="XL4Test5"/>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Sheet1"/>
      <sheetName val="1"/>
      <sheetName val="00000000"/>
      <sheetName val="T2"/>
      <sheetName val="T3"/>
      <sheetName val="T4"/>
      <sheetName val="T5"/>
      <sheetName val="THop"/>
      <sheetName val="THKD"/>
      <sheetName val="10000000"/>
      <sheetName val="20000000"/>
      <sheetName val="30000000"/>
      <sheetName val="40000000"/>
      <sheetName val="50000000"/>
      <sheetName val="60000000"/>
      <sheetName val="bg+th45"/>
      <sheetName val="4-5"/>
      <sheetName val="bg+th34"/>
      <sheetName val="3-4"/>
      <sheetName val="bg+th23"/>
      <sheetName val="2-3"/>
      <sheetName val="bg+th12"/>
      <sheetName val="1-2"/>
      <sheetName val="bg+th"/>
      <sheetName val="ptvl"/>
      <sheetName val="0-1"/>
      <sheetName val="C47-456"/>
      <sheetName val="C46"/>
      <sheetName val="C47-PII"/>
      <sheetName val="DTduong"/>
      <sheetName val="Nhahat"/>
      <sheetName val="Sheet4"/>
      <sheetName val="Sheet5"/>
      <sheetName val="Sheet6"/>
      <sheetName val="DT-THL7"/>
      <sheetName val="PA_coso"/>
      <sheetName val="PA_von"/>
      <sheetName val="PA_nhucau"/>
      <sheetName val="PA_TH"/>
      <sheetName val="THDT"/>
      <sheetName val="XL35"/>
      <sheetName val="DZ-35"/>
      <sheetName val="TN_35"/>
      <sheetName val="CT-DZ"/>
      <sheetName val="TC"/>
      <sheetName val="TH_BA"/>
      <sheetName val="TBA"/>
      <sheetName val="TNT"/>
      <sheetName val="CT_TBA"/>
      <sheetName val="KB"/>
      <sheetName val="CT_BT"/>
      <sheetName val="KS"/>
      <sheetName val="BT"/>
      <sheetName val="CP_BT"/>
      <sheetName val="DB"/>
      <sheetName val="dgth"/>
      <sheetName val="thkl"/>
      <sheetName val="thkl (2)"/>
      <sheetName val="LK2"/>
      <sheetName val="He so"/>
      <sheetName val="PL Vua"/>
      <sheetName val="DPD"/>
      <sheetName val="dgmo-tru"/>
      <sheetName val="dgdam"/>
      <sheetName val="Dam-Mo-Tru"/>
      <sheetName val="GTXLc"/>
      <sheetName val="CPXLk"/>
      <sheetName val="KPTH"/>
      <sheetName val="Bang KL ket cau"/>
      <sheetName val="Ky thu , Ky tho"/>
      <sheetName val="ThCtiet Hanh Lang  KG, KT, KP"/>
      <sheetName val="TH Hanh Lang  KG, KT, KP "/>
      <sheetName val="ThCtiet lap dung cot KG,KT, KP"/>
      <sheetName val="TH Ky Anh"/>
      <sheetName val="Th Ct iet KL,KH,KT,Kvan"/>
      <sheetName val=" THop  KL,KH,KT,Kvan "/>
      <sheetName val=" THop  KL,KH,KT,Kvan  (2)"/>
      <sheetName val="Lap dung cot, san bai"/>
      <sheetName val="00000001"/>
      <sheetName val="00000002"/>
      <sheetName val="S`eet12"/>
      <sheetName val="Du_lieu"/>
      <sheetName val="XL4Uest5"/>
      <sheetName val="DGXDCB_DD"/>
      <sheetName val="PBCPCHUNG CHO CAC ETUONG"/>
      <sheetName val="cvb"/>
      <sheetName val="dg dat"/>
      <sheetName val="vtran"/>
      <sheetName val="tran"/>
      <sheetName val="khac"/>
      <sheetName val="Gia VL"/>
      <sheetName val="GiaNC"/>
      <sheetName val="Gia may"/>
      <sheetName val="giavua"/>
      <sheetName val="tap"/>
      <sheetName val="dmvt"/>
      <sheetName val="cv"/>
      <sheetName val="vl"/>
      <sheetName val="tra-vat-lieu"/>
      <sheetName val="10.1.20"/>
      <sheetName val="10.2.20"/>
      <sheetName val="11.7.30"/>
      <sheetName val="Nhan cong KS"/>
      <sheetName val="01.2.20"/>
      <sheetName val="01.2.30"/>
      <sheetName val="08.6.00"/>
      <sheetName val="12.1.30"/>
      <sheetName val="12.1.70"/>
      <sheetName val="12.1.50"/>
      <sheetName val="17.1.30"/>
      <sheetName val="17.1.20"/>
      <sheetName val="07.3.10"/>
      <sheetName val="03.1.00"/>
      <sheetName val="09.3.00"/>
      <sheetName val="Tinh Qmax (Xoko)"/>
      <sheetName val="Hinh thai"/>
      <sheetName val="Khau do Kasin"/>
      <sheetName val="Khau do cau nho"/>
      <sheetName val="Tinh Qmax"/>
      <sheetName val="H2%"/>
      <sheetName val="H~Q~V"/>
      <sheetName val="Tra K"/>
      <sheetName val="b_ tra"/>
      <sheetName val="Lç khoan LK1"/>
      <sheetName val="Thdien"/>
      <sheetName val="DTdien"/>
      <sheetName val="DG "/>
      <sheetName val="TNHCHINH"/>
      <sheetName val="Thuc thanh"/>
      <sheetName val="NewPOS"/>
      <sheetName val="Bcaonhanh"/>
      <sheetName val="Tonghop"/>
      <sheetName val="chitieth.chinh"/>
      <sheetName val="trinhEVN29.8"/>
      <sheetName val="hieuchinh30.11"/>
      <sheetName val="KTP"/>
      <sheetName val="KLM"/>
      <sheetName val="hinhhoc"/>
      <sheetName val="phan tich DG"/>
      <sheetName val="gia vat lieu"/>
      <sheetName val="gia xe may"/>
      <sheetName val="gia nhan cong"/>
    </sheetNames>
    <sheetDataSet>
      <sheetData sheetId="0"/>
      <sheetData sheetId="1"/>
      <sheetData sheetId="2" refreshError="1">
        <row r="9">
          <cell r="N9">
            <v>118182</v>
          </cell>
        </row>
        <row r="16">
          <cell r="N16">
            <v>759</v>
          </cell>
        </row>
        <row r="17">
          <cell r="N17">
            <v>55000</v>
          </cell>
        </row>
        <row r="38">
          <cell r="N38">
            <v>4.5</v>
          </cell>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sheetData sheetId="176"/>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KL"/>
      <sheetName val="kldamchu"/>
      <sheetName val="damngang"/>
      <sheetName val="CTdamchu"/>
      <sheetName val="BMC"/>
      <sheetName val="THN- CHSANG"/>
      <sheetName val="LCTV"/>
      <sheetName val="COTTHEPMO"/>
      <sheetName val="COC 40x40S"/>
      <sheetName val="KHANGCHAN"/>
      <sheetName val="Bdan"/>
      <sheetName val="SANDAODONGCOC"/>
      <sheetName val="LDAM"/>
      <sheetName val="QUANGTREO"/>
    </sheetNames>
    <sheetDataSet>
      <sheetData sheetId="0"/>
      <sheetData sheetId="1" refreshError="1"/>
      <sheetData sheetId="2" refreshError="1"/>
      <sheetData sheetId="3" refreshError="1"/>
      <sheetData sheetId="4" refreshError="1"/>
      <sheetData sheetId="5" refreshError="1"/>
      <sheetData sheetId="6" refreshError="1"/>
      <sheetData sheetId="7" refreshError="1">
        <row r="6">
          <cell r="J6">
            <v>8</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nCong"/>
      <sheetName val="GiaCaMay"/>
    </sheetNames>
    <sheetDataSet>
      <sheetData sheetId="0" refreshError="1">
        <row r="9">
          <cell r="G9">
            <v>186519</v>
          </cell>
        </row>
        <row r="19">
          <cell r="G19">
            <v>220154</v>
          </cell>
        </row>
        <row r="29">
          <cell r="G29">
            <v>259904</v>
          </cell>
        </row>
        <row r="39">
          <cell r="G39">
            <v>306788</v>
          </cell>
        </row>
        <row r="49">
          <cell r="G49">
            <v>362846</v>
          </cell>
        </row>
        <row r="59">
          <cell r="G59">
            <v>428077</v>
          </cell>
        </row>
        <row r="127">
          <cell r="G127">
            <v>222192</v>
          </cell>
        </row>
        <row r="128">
          <cell r="G128">
            <v>261942</v>
          </cell>
        </row>
        <row r="129">
          <cell r="G129">
            <v>310865</v>
          </cell>
        </row>
        <row r="132">
          <cell r="G132">
            <v>255827</v>
          </cell>
        </row>
        <row r="133">
          <cell r="G133">
            <v>299654</v>
          </cell>
        </row>
        <row r="134">
          <cell r="G134">
            <v>350615</v>
          </cell>
        </row>
        <row r="137">
          <cell r="G137">
            <v>304750</v>
          </cell>
        </row>
        <row r="139">
          <cell r="G139">
            <v>418904</v>
          </cell>
        </row>
        <row r="140">
          <cell r="G140">
            <v>491269</v>
          </cell>
        </row>
        <row r="144">
          <cell r="G144">
            <v>380173</v>
          </cell>
        </row>
        <row r="145">
          <cell r="G145">
            <v>398519</v>
          </cell>
        </row>
        <row r="146">
          <cell r="G146">
            <v>323096</v>
          </cell>
        </row>
        <row r="151">
          <cell r="G151">
            <v>421962</v>
          </cell>
        </row>
        <row r="152">
          <cell r="G152">
            <v>444385</v>
          </cell>
        </row>
        <row r="154">
          <cell r="G154">
            <v>383231</v>
          </cell>
        </row>
        <row r="155">
          <cell r="G155">
            <v>298635</v>
          </cell>
        </row>
        <row r="159">
          <cell r="G159">
            <v>222192</v>
          </cell>
        </row>
        <row r="160">
          <cell r="G160">
            <v>255827</v>
          </cell>
        </row>
        <row r="161">
          <cell r="G161">
            <v>288442</v>
          </cell>
        </row>
        <row r="162">
          <cell r="G162">
            <v>208942</v>
          </cell>
        </row>
        <row r="163">
          <cell r="G163">
            <v>239519</v>
          </cell>
        </row>
        <row r="164">
          <cell r="G164">
            <v>271115</v>
          </cell>
        </row>
        <row r="165">
          <cell r="G165">
            <v>304750</v>
          </cell>
        </row>
        <row r="170">
          <cell r="G170">
            <v>356731</v>
          </cell>
        </row>
        <row r="171">
          <cell r="G171">
            <v>380173</v>
          </cell>
        </row>
        <row r="173">
          <cell r="G173">
            <v>378135</v>
          </cell>
        </row>
        <row r="175">
          <cell r="G175">
            <v>356731</v>
          </cell>
        </row>
        <row r="177">
          <cell r="G177">
            <v>445404</v>
          </cell>
        </row>
        <row r="179">
          <cell r="G179">
            <v>424000</v>
          </cell>
        </row>
        <row r="180">
          <cell r="G180">
            <v>445404</v>
          </cell>
        </row>
        <row r="182">
          <cell r="G182">
            <v>438269</v>
          </cell>
        </row>
        <row r="184">
          <cell r="G184">
            <v>398519</v>
          </cell>
        </row>
        <row r="186">
          <cell r="G186">
            <v>497385</v>
          </cell>
        </row>
        <row r="187">
          <cell r="G187">
            <v>528981</v>
          </cell>
        </row>
        <row r="188">
          <cell r="G188">
            <v>480058</v>
          </cell>
        </row>
        <row r="189">
          <cell r="G189">
            <v>516750</v>
          </cell>
        </row>
        <row r="191">
          <cell r="G191">
            <v>444385</v>
          </cell>
        </row>
        <row r="193">
          <cell r="G193">
            <v>501462</v>
          </cell>
        </row>
        <row r="195">
          <cell r="G195">
            <v>477000</v>
          </cell>
        </row>
        <row r="199">
          <cell r="G199">
            <v>551404</v>
          </cell>
        </row>
        <row r="201">
          <cell r="G201">
            <v>528981</v>
          </cell>
        </row>
        <row r="202">
          <cell r="G202">
            <v>445404</v>
          </cell>
        </row>
        <row r="203">
          <cell r="G203">
            <v>477000</v>
          </cell>
        </row>
        <row r="204">
          <cell r="G204">
            <v>477000</v>
          </cell>
        </row>
        <row r="205">
          <cell r="G205">
            <v>501462</v>
          </cell>
        </row>
        <row r="206">
          <cell r="G206">
            <v>424000</v>
          </cell>
        </row>
        <row r="207">
          <cell r="G207">
            <v>445404</v>
          </cell>
        </row>
        <row r="210">
          <cell r="G210">
            <v>586058</v>
          </cell>
        </row>
        <row r="212">
          <cell r="G212">
            <v>551404</v>
          </cell>
        </row>
        <row r="214">
          <cell r="G214">
            <v>501462</v>
          </cell>
        </row>
        <row r="215">
          <cell r="G215">
            <v>501462</v>
          </cell>
        </row>
        <row r="216">
          <cell r="G216">
            <v>528981</v>
          </cell>
        </row>
        <row r="218">
          <cell r="G218">
            <v>477000</v>
          </cell>
        </row>
        <row r="221">
          <cell r="G221">
            <v>334308</v>
          </cell>
        </row>
        <row r="224">
          <cell r="G224">
            <v>475981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 toan"/>
      <sheetName val="Phan tich vat tu"/>
      <sheetName val="Tong hop vat tu"/>
      <sheetName val="Gia tri vat tu"/>
      <sheetName val="Chenh lech vat tu"/>
      <sheetName val="Chi phi van chuyen"/>
      <sheetName val="Don gia chi tiet"/>
      <sheetName val="Du thau"/>
      <sheetName val="Tong hop kinh phi"/>
      <sheetName val="Tu van Thiet ke"/>
      <sheetName val="Tien do thi cong"/>
      <sheetName val="Bia du toan"/>
      <sheetName val="Tro giup"/>
      <sheetName val="Config"/>
      <sheetName val="Gia giao VL den HT"/>
      <sheetName val="Gia VL den HT"/>
      <sheetName val="Tong hop DTXD CT"/>
      <sheetName val="Du toan XDCT"/>
      <sheetName val="Tong hop CPXD"/>
      <sheetName val="Tong hop CPTB"/>
      <sheetName val="Tong hop CPK"/>
      <sheetName val="Tu van Thiet ke 1"/>
      <sheetName val="Macro1"/>
      <sheetName val="Macro2"/>
      <sheetName val="Macro3"/>
      <sheetName val="StartUp"/>
      <sheetName val="HS_TDT"/>
      <sheetName val="DMCP"/>
      <sheetName val="~         "/>
      <sheetName val="Cong van 1751"/>
      <sheetName val="Biaky"/>
      <sheetName val="HelpMe"/>
      <sheetName val="TH_DT"/>
      <sheetName val="Dtoan"/>
      <sheetName val="CLVL"/>
      <sheetName val="PTVL"/>
      <sheetName val="Tiendo"/>
      <sheetName val="CS_TDGCT"/>
      <sheetName val="VL"/>
      <sheetName val="VLBTN"/>
      <sheetName val="Coso"/>
      <sheetName val="CapCT"/>
      <sheetName val="Tra2"/>
      <sheetName val="Tra1"/>
      <sheetName val="DieuchinhTKe"/>
      <sheetName val="Tra2_GT"/>
      <sheetName val="Tra1_GT"/>
      <sheetName val="DieuchinhTKe(GT)"/>
      <sheetName val="Bia ngoai"/>
      <sheetName val="Bia trong"/>
      <sheetName val="Thuyetminh"/>
      <sheetName val="TongHopDutoan_GT"/>
      <sheetName val="TonghopDutoan_DD"/>
      <sheetName val="Tra2_DD"/>
      <sheetName val="Tra1_DD"/>
      <sheetName val="DieuchinhTKe(DD)"/>
      <sheetName val="TonghopDutoan_TL"/>
      <sheetName val="THChiphiXD_TBi"/>
      <sheetName val="XL4Test5"/>
      <sheetName val="Thuyet Minh"/>
      <sheetName val="DGCPV"/>
      <sheetName val="THKP"/>
      <sheetName val="THKP Khao sat"/>
      <sheetName val="QLDA1751"/>
      <sheetName val="QLDA1"/>
      <sheetName val="Data"/>
      <sheetName val="XL4Poppy"/>
      <sheetName val="GVLCCT"/>
      <sheetName val="GNC"/>
      <sheetName val="GMXD"/>
      <sheetName val="QLDA"/>
      <sheetName val="Luat XD"/>
      <sheetName val="Mau DGCT"/>
      <sheetName val="Bia Quyet Toan"/>
      <sheetName val="Tra thep hinh"/>
      <sheetName val="Sheet2"/>
      <sheetName val="CPV"/>
      <sheetName val="DUTOAN1"/>
      <sheetName val="QD 957-2009"/>
      <sheetName val="ngoi dong"/>
      <sheetName val="TH tu van"/>
      <sheetName val="xxxxxxxx"/>
      <sheetName val="Vat lieu den chan CT"/>
      <sheetName val="Cuoc VC"/>
      <sheetName val="CanCu"/>
      <sheetName val="GDT"/>
      <sheetName val="DGCT"/>
      <sheetName val="GiaVLDT"/>
      <sheetName val="Vua"/>
      <sheetName val="Phan tich hao phi"/>
      <sheetName val="TH hao phi"/>
      <sheetName val="vcbo"/>
      <sheetName val="Sheet1"/>
      <sheetName val="Config&quot;"/>
      <sheetName val="Phan tich ca may"/>
      <sheetName val="Chenh lech ca may"/>
      <sheetName val="Chiet tinh ca may"/>
      <sheetName val="Tong hop kinh phi tinh ca may"/>
      <sheetName val="TLg LX, LT"/>
      <sheetName val="Bia du toan (2)"/>
      <sheetName val="Van chuyen vat lieu TC"/>
      <sheetName val="Gia vat lieu"/>
      <sheetName val="Chi phi vat lieu"/>
      <sheetName val="Bu nhien lieu"/>
      <sheetName val="00000000"/>
      <sheetName val="Chiet tinh don gia CM"/>
      <sheetName val="Tong hop kinh phi co Bu GCM"/>
      <sheetName val="Tong hop DTCT"/>
      <sheetName val="Tong hop DT CPXD TH"/>
      <sheetName val="TLg Laitau"/>
      <sheetName val="TLg CN&amp;Laixe"/>
      <sheetName val="TLg Laitau (2)"/>
      <sheetName val="TLg CN&amp;Laixe (2)"/>
      <sheetName val="Du toan (2)"/>
      <sheetName val="Tong hop kinh phi (2)"/>
      <sheetName val="Config (2)"/>
      <sheetName val="chi tiet TBA 220,4"/>
      <sheetName val="TH 160"/>
      <sheetName val="Bia  160"/>
      <sheetName val="TH-TBA THAO DO"/>
      <sheetName val="bia THAODO TBA"/>
      <sheetName val="TH thao do 35"/>
      <sheetName val="bia 35 thao do"/>
      <sheetName val="Phuluc 3"/>
      <sheetName val="Phuluc 3.a"/>
      <sheetName val="Phu luc 3.b"/>
      <sheetName val="Phuluc 1"/>
      <sheetName val="CPTV"/>
      <sheetName val="chiet tinh"/>
      <sheetName val="Phu luc 2"/>
      <sheetName val="SL dau tien"/>
      <sheetName val="th CT"/>
      <sheetName val="TKP"/>
      <sheetName val="TH"/>
      <sheetName val="TH dz 22"/>
      <sheetName val="bia 22KV"/>
      <sheetName val="BIA TNGHIEM 22"/>
      <sheetName val="chi tiet dz 22 kv"/>
      <sheetName val="vt 22"/>
      <sheetName val="SLVC-22"/>
      <sheetName val="VCDD_22"/>
      <sheetName val="TONG KE DZ 22 KV"/>
      <sheetName val="trungchuyen DZ"/>
      <sheetName val="DG vat tu"/>
      <sheetName val="TH_NHADIEU KHIEN"/>
      <sheetName val="chi tiet TBA"/>
      <sheetName val="VT_TB TBA"/>
      <sheetName val="TH NT+NT"/>
      <sheetName val="chitietdatdao"/>
      <sheetName val="Bia TBA"/>
      <sheetName val="Bia XD TBA"/>
      <sheetName val="Bia NT+NT TBA"/>
      <sheetName val="Bia Kho Tam"/>
      <sheetName val="Bia PQ Tuyen"/>
      <sheetName val="PQ tuyen"/>
      <sheetName val="CPDB"/>
      <sheetName val="DM 66"/>
      <sheetName val="HSDC GOC"/>
      <sheetName val="DLNS"/>
      <sheetName val="DGVCTC 67"/>
      <sheetName val="vc vat tu CHUNG "/>
      <sheetName val="Gvlcht"/>
      <sheetName val="GT 1m3 BT"/>
      <sheetName val="T T CL VC DZ 22"/>
      <sheetName val="DG 89"/>
      <sheetName val="SLVC TBA"/>
      <sheetName val="VCDD_TBA"/>
      <sheetName val="DM 67"/>
      <sheetName val="DM 85"/>
      <sheetName val="TB"/>
      <sheetName val="Bia lot"/>
      <sheetName val="Bao cao KH"/>
      <sheetName val="Vat tu"/>
      <sheetName val="May"/>
      <sheetName val="Nhan cong"/>
      <sheetName val="TT phi khac"/>
      <sheetName val="Chi phi lan trai"/>
      <sheetName val="Chi phi chung"/>
      <sheetName val="P.A.K.D"/>
      <sheetName val="Bia P.A.K.D"/>
      <sheetName val="Work-Condition"/>
      <sheetName val="Tong hop"/>
      <sheetName val="Xay dung"/>
      <sheetName val="ca may"/>
      <sheetName val="VT"/>
      <sheetName val="NC"/>
      <sheetName val="MTP"/>
      <sheetName val="Bang tra Chi phi khac"/>
      <sheetName val="Chenh lech VT 2"/>
      <sheetName val="Van chuyen 2"/>
      <sheetName val="Khao sat dia hinh"/>
      <sheetName val="Tong hop kinh phi 2"/>
      <sheetName val="Tu van thuyet ke"/>
      <sheetName val="Phan tic( 6a4 4u"/>
      <sheetName val="TM quyet toan"/>
      <sheetName val="Thuyet minh "/>
      <sheetName val="Khoi luong quyet toan"/>
      <sheetName val="Bang Khoi luong"/>
      <sheetName val="Phu luc 02"/>
      <sheetName val="ct"/>
      <sheetName val="Chenh lech va4 tu"/>
      <sheetName val="Tu van Thhet k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Dutoan2001</v>
          </cell>
        </row>
      </sheetData>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refreshError="1"/>
      <sheetData sheetId="197" refreshError="1"/>
      <sheetData sheetId="198" refreshError="1"/>
      <sheetData sheetId="199"/>
      <sheetData sheetId="200" refreshError="1"/>
      <sheetData sheetId="20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sheetName val="DAT2021_HY"/>
    </sheetNames>
    <definedNames>
      <definedName name="PtichDTL" refersTo="#REF!"/>
      <definedName name="vclcat"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1"/>
      <sheetName val="b02"/>
      <sheetName val="b03"/>
      <sheetName val="b12"/>
      <sheetName val="b13"/>
      <sheetName val="B14"/>
      <sheetName val="b15"/>
      <sheetName val="b16"/>
      <sheetName val="b17"/>
      <sheetName val="29.1"/>
      <sheetName val="b31"/>
      <sheetName val="32"/>
      <sheetName val="b35"/>
      <sheetName val="b2A"/>
      <sheetName val="b2B"/>
      <sheetName val="b2C"/>
      <sheetName val="b2D"/>
      <sheetName val="B18"/>
      <sheetName val="CDoi"/>
      <sheetName val="TH"/>
      <sheetName val="Mau 05 UB"/>
      <sheetName val="XA"/>
      <sheetName val="quỹ lương 2022"/>
      <sheetName val="GDPa2"/>
      <sheetName val="sn gd"/>
      <sheetName val="01"/>
      <sheetName val="02"/>
      <sheetName val="quân sự"/>
      <sheetName val="04-21"/>
      <sheetName val="34"/>
      <sheetName val="Sheet1"/>
      <sheetName val="THU NSX"/>
      <sheetName val="CD xa"/>
      <sheetName val="ngoai D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13">
          <cell r="C13">
            <v>29546</v>
          </cell>
        </row>
        <row r="14">
          <cell r="C14">
            <v>37151</v>
          </cell>
        </row>
        <row r="15">
          <cell r="C15">
            <v>508</v>
          </cell>
        </row>
        <row r="16">
          <cell r="C16">
            <v>26036</v>
          </cell>
        </row>
        <row r="17">
          <cell r="C17">
            <v>479</v>
          </cell>
        </row>
        <row r="18">
          <cell r="C18">
            <v>198</v>
          </cell>
        </row>
        <row r="19">
          <cell r="C19">
            <v>635</v>
          </cell>
        </row>
        <row r="20">
          <cell r="C20">
            <v>106</v>
          </cell>
        </row>
        <row r="21">
          <cell r="C21">
            <v>490</v>
          </cell>
        </row>
        <row r="22">
          <cell r="C22">
            <v>11785</v>
          </cell>
        </row>
        <row r="23">
          <cell r="C23">
            <v>10886</v>
          </cell>
        </row>
      </sheetData>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 NSX"/>
      <sheetName val="Thu NSX"/>
      <sheetName val="huyen giao"/>
      <sheetName val="BS NST"/>
      <sheetName val="BS NSTW"/>
      <sheetName val="BIEU CDOI"/>
      <sheetName val="TH"/>
      <sheetName val="TONG HOP"/>
      <sheetName val="NS Cap huyen"/>
      <sheetName val="NSX 2021"/>
      <sheetName val="LLDQTT"/>
      <sheetName val="DAT 2021"/>
      <sheetName val="danh sach"/>
      <sheetName val="tong hop 2017_2021"/>
      <sheetName val="tong 2017-2021"/>
      <sheetName val="tinh can doi"/>
    </sheetNames>
    <sheetDataSet>
      <sheetData sheetId="0" refreshError="1"/>
      <sheetData sheetId="1">
        <row r="13">
          <cell r="C13">
            <v>56121</v>
          </cell>
        </row>
        <row r="14">
          <cell r="C14">
            <v>27656</v>
          </cell>
        </row>
        <row r="15">
          <cell r="C15">
            <v>539</v>
          </cell>
        </row>
        <row r="16">
          <cell r="C16">
            <v>23869</v>
          </cell>
        </row>
        <row r="17">
          <cell r="C17">
            <v>474</v>
          </cell>
        </row>
        <row r="18">
          <cell r="C18">
            <v>240</v>
          </cell>
        </row>
        <row r="19">
          <cell r="C19">
            <v>820</v>
          </cell>
        </row>
        <row r="20">
          <cell r="C20">
            <v>165</v>
          </cell>
        </row>
        <row r="21">
          <cell r="C21">
            <v>521</v>
          </cell>
        </row>
        <row r="22">
          <cell r="C22">
            <v>11215</v>
          </cell>
        </row>
        <row r="23">
          <cell r="C23">
            <v>20100</v>
          </cell>
        </row>
      </sheetData>
      <sheetData sheetId="2" refreshError="1"/>
      <sheetData sheetId="3" refreshError="1"/>
      <sheetData sheetId="4" refreshError="1"/>
      <sheetData sheetId="5" refreshError="1"/>
      <sheetData sheetId="6" refreshError="1"/>
      <sheetData sheetId="7"/>
      <sheetData sheetId="8">
        <row r="23">
          <cell r="J23">
            <v>39000</v>
          </cell>
        </row>
      </sheetData>
      <sheetData sheetId="9">
        <row r="25">
          <cell r="E25">
            <v>53551.233657009994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1_TT342"/>
      <sheetName val="BIEU 29_TT342"/>
      <sheetName val="bieu 16"/>
      <sheetName val="32"/>
      <sheetName val="biểu 04"/>
      <sheetName val="mau 06"/>
      <sheetName val="Mau 05 UB (2)"/>
      <sheetName val="08 XA"/>
      <sheetName val="Sheet1"/>
    </sheetNames>
    <sheetDataSet>
      <sheetData sheetId="0"/>
      <sheetData sheetId="1"/>
      <sheetData sheetId="2"/>
      <sheetData sheetId="3"/>
      <sheetData sheetId="4"/>
      <sheetData sheetId="5"/>
      <sheetData sheetId="6">
        <row r="26">
          <cell r="T26">
            <v>88.96</v>
          </cell>
        </row>
      </sheetData>
      <sheetData sheetId="7">
        <row r="11">
          <cell r="D11">
            <v>59344.740000000005</v>
          </cell>
        </row>
        <row r="13">
          <cell r="D13">
            <v>480</v>
          </cell>
        </row>
        <row r="29">
          <cell r="D29">
            <v>970</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5.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9.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 Id="rId9" Type="http://schemas.openxmlformats.org/officeDocument/2006/relationships/comments" Target="../comments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workbookViewId="0">
      <pane xSplit="3" ySplit="8" topLeftCell="D25" activePane="bottomRight" state="frozen"/>
      <selection pane="topRight" activeCell="E1" sqref="E1"/>
      <selection pane="bottomLeft" activeCell="A8" sqref="A8"/>
      <selection pane="bottomRight" activeCell="B13" sqref="B13"/>
    </sheetView>
  </sheetViews>
  <sheetFormatPr defaultRowHeight="15"/>
  <cols>
    <col min="1" max="1" width="6" style="2" customWidth="1"/>
    <col min="2" max="2" width="64" style="2" customWidth="1"/>
    <col min="3" max="7" width="11" style="2" customWidth="1"/>
    <col min="8" max="8" width="10.28515625" style="2" customWidth="1"/>
    <col min="9" max="9" width="9.28515625" style="2" bestFit="1" customWidth="1"/>
    <col min="10" max="16384" width="9.140625" style="2"/>
  </cols>
  <sheetData>
    <row r="1" spans="1:9" ht="19.5" customHeight="1">
      <c r="A1" s="654" t="s">
        <v>170</v>
      </c>
      <c r="B1" s="654"/>
      <c r="D1" s="15"/>
      <c r="E1" s="655" t="s">
        <v>415</v>
      </c>
      <c r="F1" s="655"/>
      <c r="G1" s="655"/>
      <c r="H1" s="655"/>
      <c r="I1" s="655"/>
    </row>
    <row r="2" spans="1:9">
      <c r="A2" s="656" t="s">
        <v>416</v>
      </c>
      <c r="B2" s="656"/>
      <c r="C2" s="656"/>
      <c r="D2" s="656"/>
      <c r="E2" s="656"/>
      <c r="F2" s="656"/>
      <c r="G2" s="656"/>
      <c r="H2" s="656"/>
      <c r="I2" s="656"/>
    </row>
    <row r="3" spans="1:9">
      <c r="A3" s="663" t="s">
        <v>643</v>
      </c>
      <c r="B3" s="663"/>
      <c r="C3" s="663"/>
      <c r="D3" s="663"/>
      <c r="E3" s="663"/>
      <c r="F3" s="663"/>
      <c r="G3" s="663"/>
      <c r="H3" s="663"/>
      <c r="I3" s="663"/>
    </row>
    <row r="4" spans="1:9">
      <c r="B4" s="16"/>
      <c r="E4" s="657" t="s">
        <v>417</v>
      </c>
      <c r="F4" s="657"/>
      <c r="G4" s="657"/>
      <c r="H4" s="657"/>
      <c r="I4" s="657"/>
    </row>
    <row r="5" spans="1:9" ht="46.5" customHeight="1">
      <c r="A5" s="658" t="s">
        <v>10</v>
      </c>
      <c r="B5" s="658" t="s">
        <v>11</v>
      </c>
      <c r="C5" s="659" t="s">
        <v>339</v>
      </c>
      <c r="D5" s="659"/>
      <c r="E5" s="660" t="s">
        <v>418</v>
      </c>
      <c r="F5" s="661" t="s">
        <v>419</v>
      </c>
      <c r="G5" s="662"/>
      <c r="H5" s="660" t="s">
        <v>420</v>
      </c>
      <c r="I5" s="659"/>
    </row>
    <row r="6" spans="1:9" ht="54" customHeight="1">
      <c r="A6" s="658"/>
      <c r="B6" s="658"/>
      <c r="C6" s="386" t="s">
        <v>421</v>
      </c>
      <c r="D6" s="387" t="s">
        <v>422</v>
      </c>
      <c r="E6" s="659"/>
      <c r="F6" s="386" t="s">
        <v>421</v>
      </c>
      <c r="G6" s="386" t="s">
        <v>423</v>
      </c>
      <c r="H6" s="386" t="s">
        <v>13</v>
      </c>
      <c r="I6" s="387" t="s">
        <v>424</v>
      </c>
    </row>
    <row r="7" spans="1:9" ht="17.25" customHeight="1">
      <c r="A7" s="17" t="s">
        <v>14</v>
      </c>
      <c r="B7" s="17" t="s">
        <v>15</v>
      </c>
      <c r="C7" s="17">
        <v>1</v>
      </c>
      <c r="D7" s="17">
        <v>2</v>
      </c>
      <c r="E7" s="17">
        <v>3</v>
      </c>
      <c r="F7" s="17">
        <v>4</v>
      </c>
      <c r="G7" s="17">
        <v>5</v>
      </c>
      <c r="H7" s="17">
        <v>6</v>
      </c>
      <c r="I7" s="17">
        <v>7</v>
      </c>
    </row>
    <row r="8" spans="1:9" s="389" customFormat="1" ht="14.25">
      <c r="A8" s="20" t="s">
        <v>14</v>
      </c>
      <c r="B8" s="21" t="s">
        <v>425</v>
      </c>
      <c r="C8" s="22">
        <f>C9+C13+C16+C17+C18</f>
        <v>319343</v>
      </c>
      <c r="D8" s="22">
        <f>D9+D13+D16+D17+D18</f>
        <v>366153</v>
      </c>
      <c r="E8" s="22">
        <f>E9+E13+E16+E17+E18</f>
        <v>478307.09194900002</v>
      </c>
      <c r="F8" s="22">
        <f>F9+F13+F16+F17+F18</f>
        <v>361225</v>
      </c>
      <c r="G8" s="22">
        <f>G9+G13+G16+G17+G18</f>
        <v>447546.75</v>
      </c>
      <c r="H8" s="22">
        <f>H9+H13+H16+H18</f>
        <v>67744.248345000015</v>
      </c>
      <c r="I8" s="23">
        <f>G8/E8</f>
        <v>0.93568913681865318</v>
      </c>
    </row>
    <row r="9" spans="1:9" s="389" customFormat="1" ht="17.25" customHeight="1">
      <c r="A9" s="24" t="s">
        <v>16</v>
      </c>
      <c r="B9" s="25" t="s">
        <v>113</v>
      </c>
      <c r="C9" s="26">
        <f>SUM(C10:C11)</f>
        <v>75491</v>
      </c>
      <c r="D9" s="26">
        <f>SUM(D10:D11)</f>
        <v>122301</v>
      </c>
      <c r="E9" s="26">
        <f>SUM(E10:E11)</f>
        <v>117871.04659499999</v>
      </c>
      <c r="F9" s="26">
        <f>SUM(F10:F11)</f>
        <v>94965</v>
      </c>
      <c r="G9" s="26">
        <f>SUM(G10:G11)</f>
        <v>181286.75</v>
      </c>
      <c r="H9" s="26">
        <f t="shared" ref="H9:H19" si="0">G9-E9</f>
        <v>63415.703405000007</v>
      </c>
      <c r="I9" s="27">
        <f>G9/E9</f>
        <v>1.5380091654135704</v>
      </c>
    </row>
    <row r="10" spans="1:9" ht="17.25" customHeight="1">
      <c r="A10" s="388">
        <v>1</v>
      </c>
      <c r="B10" s="28" t="s">
        <v>426</v>
      </c>
      <c r="C10" s="29">
        <v>6190</v>
      </c>
      <c r="D10" s="29">
        <v>6200</v>
      </c>
      <c r="E10" s="19">
        <v>6965.7569629999998</v>
      </c>
      <c r="F10" s="29">
        <v>20025</v>
      </c>
      <c r="G10" s="399">
        <v>98697</v>
      </c>
      <c r="H10" s="29">
        <f>G10-E10</f>
        <v>91731.243037000007</v>
      </c>
      <c r="I10" s="30">
        <f>G10/E10</f>
        <v>14.168883658193746</v>
      </c>
    </row>
    <row r="11" spans="1:9" ht="17.25" customHeight="1">
      <c r="A11" s="388">
        <v>2</v>
      </c>
      <c r="B11" s="28" t="s">
        <v>427</v>
      </c>
      <c r="C11" s="29">
        <f>75491-C10</f>
        <v>69301</v>
      </c>
      <c r="D11" s="29">
        <v>116101</v>
      </c>
      <c r="E11" s="19">
        <v>110905.289632</v>
      </c>
      <c r="F11" s="29">
        <v>74940</v>
      </c>
      <c r="G11" s="399">
        <v>82589.75</v>
      </c>
      <c r="H11" s="29">
        <f t="shared" si="0"/>
        <v>-28315.539632</v>
      </c>
      <c r="I11" s="30">
        <f>G11/E11</f>
        <v>0.74468720359547225</v>
      </c>
    </row>
    <row r="12" spans="1:9" ht="17.25" customHeight="1">
      <c r="A12" s="388" t="s">
        <v>246</v>
      </c>
      <c r="B12" s="28" t="s">
        <v>428</v>
      </c>
      <c r="C12" s="29"/>
      <c r="D12" s="29"/>
      <c r="E12" s="29"/>
      <c r="F12" s="29"/>
      <c r="G12" s="29"/>
      <c r="H12" s="29">
        <f t="shared" si="0"/>
        <v>0</v>
      </c>
      <c r="I12" s="30"/>
    </row>
    <row r="13" spans="1:9" s="389" customFormat="1" ht="17.25" customHeight="1">
      <c r="A13" s="24" t="s">
        <v>26</v>
      </c>
      <c r="B13" s="25" t="s">
        <v>19</v>
      </c>
      <c r="C13" s="26">
        <f>SUM(C14:C15)</f>
        <v>243852</v>
      </c>
      <c r="D13" s="26">
        <f>SUM(D14:D15)</f>
        <v>243852</v>
      </c>
      <c r="E13" s="26">
        <f>SUM(E14:E15)</f>
        <v>253430.53599999999</v>
      </c>
      <c r="F13" s="26">
        <f>SUM(F14:F15)</f>
        <v>266260</v>
      </c>
      <c r="G13" s="26">
        <f>SUM(G14:G15)</f>
        <v>266260</v>
      </c>
      <c r="H13" s="26">
        <f t="shared" si="0"/>
        <v>12829.464000000007</v>
      </c>
      <c r="I13" s="27">
        <f>G13/E13</f>
        <v>1.0506231971983044</v>
      </c>
    </row>
    <row r="14" spans="1:9" ht="17.25" customHeight="1">
      <c r="A14" s="388">
        <v>1</v>
      </c>
      <c r="B14" s="28" t="s">
        <v>21</v>
      </c>
      <c r="C14" s="29">
        <v>210681</v>
      </c>
      <c r="D14" s="29">
        <v>210681</v>
      </c>
      <c r="E14" s="29">
        <v>210681</v>
      </c>
      <c r="F14" s="31">
        <v>258162</v>
      </c>
      <c r="G14" s="31">
        <v>258162</v>
      </c>
      <c r="H14" s="29">
        <f t="shared" si="0"/>
        <v>47481</v>
      </c>
      <c r="I14" s="30">
        <f>G14/E14</f>
        <v>1.225369160009683</v>
      </c>
    </row>
    <row r="15" spans="1:9" ht="17.25" customHeight="1">
      <c r="A15" s="388">
        <v>2</v>
      </c>
      <c r="B15" s="28" t="s">
        <v>22</v>
      </c>
      <c r="C15" s="29">
        <v>33171</v>
      </c>
      <c r="D15" s="29">
        <v>33171</v>
      </c>
      <c r="E15" s="32">
        <f>33171+9578.536</f>
        <v>42749.536</v>
      </c>
      <c r="F15" s="29">
        <v>8098</v>
      </c>
      <c r="G15" s="29">
        <f>7978+120</f>
        <v>8098</v>
      </c>
      <c r="H15" s="29">
        <f t="shared" si="0"/>
        <v>-34651.536</v>
      </c>
      <c r="I15" s="30">
        <f>G15/E15</f>
        <v>0.18942895660902612</v>
      </c>
    </row>
    <row r="16" spans="1:9" s="389" customFormat="1" ht="20.25" customHeight="1">
      <c r="A16" s="24" t="s">
        <v>32</v>
      </c>
      <c r="B16" s="25" t="s">
        <v>24</v>
      </c>
      <c r="C16" s="26"/>
      <c r="D16" s="26"/>
      <c r="E16" s="26">
        <v>8404.0792600000004</v>
      </c>
      <c r="F16" s="26"/>
      <c r="G16" s="26"/>
      <c r="H16" s="26">
        <f t="shared" si="0"/>
        <v>-8404.0792600000004</v>
      </c>
      <c r="I16" s="27">
        <f>G16/E16</f>
        <v>0</v>
      </c>
    </row>
    <row r="17" spans="1:9" s="389" customFormat="1" ht="20.25" customHeight="1">
      <c r="A17" s="24" t="s">
        <v>64</v>
      </c>
      <c r="B17" s="25" t="s">
        <v>25</v>
      </c>
      <c r="C17" s="26"/>
      <c r="D17" s="26"/>
      <c r="E17" s="26">
        <f>87770.36215+3441.215459+7293.012685</f>
        <v>98504.590293999994</v>
      </c>
      <c r="F17" s="26"/>
      <c r="G17" s="26"/>
      <c r="H17" s="26">
        <f t="shared" si="0"/>
        <v>-98504.590293999994</v>
      </c>
      <c r="I17" s="27">
        <f>G17/E17</f>
        <v>0</v>
      </c>
    </row>
    <row r="18" spans="1:9" s="389" customFormat="1" ht="20.25" customHeight="1">
      <c r="A18" s="24" t="s">
        <v>66</v>
      </c>
      <c r="B18" s="25" t="s">
        <v>429</v>
      </c>
      <c r="C18" s="26"/>
      <c r="D18" s="26"/>
      <c r="E18" s="33">
        <v>96.839799999999997</v>
      </c>
      <c r="F18" s="26"/>
      <c r="G18" s="26"/>
      <c r="H18" s="26">
        <f t="shared" si="0"/>
        <v>-96.839799999999997</v>
      </c>
      <c r="I18" s="27"/>
    </row>
    <row r="19" spans="1:9" s="389" customFormat="1" ht="19.5" customHeight="1">
      <c r="A19" s="24" t="s">
        <v>15</v>
      </c>
      <c r="B19" s="25" t="s">
        <v>240</v>
      </c>
      <c r="C19" s="26">
        <f>C20+C27+C31</f>
        <v>319343</v>
      </c>
      <c r="D19" s="26">
        <f>D20+D27+D31</f>
        <v>366153.23</v>
      </c>
      <c r="E19" s="26">
        <f>E20+E27+E31</f>
        <v>478307.30476799997</v>
      </c>
      <c r="F19" s="26">
        <f>F20+F27+F31</f>
        <v>361225</v>
      </c>
      <c r="G19" s="26">
        <f>G20+G27+G31</f>
        <v>447547</v>
      </c>
      <c r="H19" s="26">
        <f t="shared" si="0"/>
        <v>-30760.304767999973</v>
      </c>
      <c r="I19" s="27">
        <f>G19/E19</f>
        <v>0.93568924316779967</v>
      </c>
    </row>
    <row r="20" spans="1:9" s="408" customFormat="1" ht="17.25" customHeight="1">
      <c r="A20" s="24" t="s">
        <v>16</v>
      </c>
      <c r="B20" s="25" t="s">
        <v>125</v>
      </c>
      <c r="C20" s="26">
        <f>SUM(C21:C26)</f>
        <v>286172</v>
      </c>
      <c r="D20" s="26">
        <f>SUM(D21:D26)</f>
        <v>332982.23</v>
      </c>
      <c r="E20" s="26">
        <f>SUM(E21:E26)</f>
        <v>419970.94476799999</v>
      </c>
      <c r="F20" s="26">
        <f>SUM(F21:F26)</f>
        <v>353127</v>
      </c>
      <c r="G20" s="26">
        <f>SUM(G21:G26)</f>
        <v>439449</v>
      </c>
      <c r="H20" s="26">
        <f>G20-D20</f>
        <v>106466.77000000002</v>
      </c>
      <c r="I20" s="27">
        <f>G20/D20</f>
        <v>1.319737092276666</v>
      </c>
    </row>
    <row r="21" spans="1:9" ht="17.25" customHeight="1">
      <c r="A21" s="388">
        <v>1</v>
      </c>
      <c r="B21" s="28" t="s">
        <v>430</v>
      </c>
      <c r="C21" s="29">
        <f>7832+2640</f>
        <v>10472</v>
      </c>
      <c r="D21" s="29">
        <f>10472+41360</f>
        <v>51832</v>
      </c>
      <c r="E21" s="29">
        <v>62203.511319999998</v>
      </c>
      <c r="F21" s="29">
        <v>18392</v>
      </c>
      <c r="G21" s="385">
        <f>7832+89232</f>
        <v>97064</v>
      </c>
      <c r="H21" s="29">
        <f t="shared" ref="H21:H30" si="1">G21-D21</f>
        <v>45232</v>
      </c>
      <c r="I21" s="30">
        <f t="shared" ref="I21:I29" si="2">G21/D21</f>
        <v>1.8726655348047538</v>
      </c>
    </row>
    <row r="22" spans="1:9" ht="17.25" customHeight="1">
      <c r="A22" s="388">
        <v>2</v>
      </c>
      <c r="B22" s="28" t="s">
        <v>85</v>
      </c>
      <c r="C22" s="29">
        <v>269970</v>
      </c>
      <c r="D22" s="29">
        <v>268645.92</v>
      </c>
      <c r="E22" s="29">
        <v>267630.05</v>
      </c>
      <c r="F22" s="29">
        <v>327672</v>
      </c>
      <c r="G22" s="34">
        <f>327672+1785+510</f>
        <v>329967</v>
      </c>
      <c r="H22" s="29">
        <f t="shared" si="1"/>
        <v>61321.080000000016</v>
      </c>
      <c r="I22" s="30">
        <f t="shared" si="2"/>
        <v>1.2282598596695606</v>
      </c>
    </row>
    <row r="23" spans="1:9" ht="15" hidden="1" customHeight="1">
      <c r="A23" s="388">
        <v>3</v>
      </c>
      <c r="B23" s="28" t="s">
        <v>431</v>
      </c>
      <c r="C23" s="29"/>
      <c r="D23" s="29"/>
      <c r="E23" s="29"/>
      <c r="F23" s="29"/>
      <c r="G23" s="29"/>
      <c r="H23" s="29">
        <f t="shared" si="1"/>
        <v>0</v>
      </c>
      <c r="I23" s="30" t="e">
        <f t="shared" si="2"/>
        <v>#DIV/0!</v>
      </c>
    </row>
    <row r="24" spans="1:9" ht="15" hidden="1" customHeight="1">
      <c r="A24" s="388">
        <v>4</v>
      </c>
      <c r="B24" s="28" t="s">
        <v>127</v>
      </c>
      <c r="C24" s="29"/>
      <c r="D24" s="29"/>
      <c r="E24" s="29"/>
      <c r="F24" s="29"/>
      <c r="G24" s="29"/>
      <c r="H24" s="29">
        <f t="shared" si="1"/>
        <v>0</v>
      </c>
      <c r="I24" s="30" t="e">
        <f t="shared" si="2"/>
        <v>#DIV/0!</v>
      </c>
    </row>
    <row r="25" spans="1:9" ht="17.25" customHeight="1">
      <c r="A25" s="388">
        <v>3</v>
      </c>
      <c r="B25" s="28" t="s">
        <v>67</v>
      </c>
      <c r="C25" s="29">
        <v>5730</v>
      </c>
      <c r="D25" s="29">
        <v>5730</v>
      </c>
      <c r="E25" s="29">
        <v>7629</v>
      </c>
      <c r="F25" s="29">
        <v>7063</v>
      </c>
      <c r="G25" s="29">
        <v>7063</v>
      </c>
      <c r="H25" s="29">
        <f t="shared" si="1"/>
        <v>1333</v>
      </c>
      <c r="I25" s="30">
        <f t="shared" si="2"/>
        <v>1.2326352530541012</v>
      </c>
    </row>
    <row r="26" spans="1:9" ht="17.25" customHeight="1">
      <c r="A26" s="388">
        <v>4</v>
      </c>
      <c r="B26" s="28" t="s">
        <v>432</v>
      </c>
      <c r="C26" s="29"/>
      <c r="D26" s="29">
        <v>6774.31</v>
      </c>
      <c r="E26" s="29">
        <v>82508.383447999993</v>
      </c>
      <c r="F26" s="29"/>
      <c r="G26" s="29">
        <v>5355</v>
      </c>
      <c r="H26" s="29">
        <f t="shared" si="1"/>
        <v>-1419.3100000000004</v>
      </c>
      <c r="I26" s="30">
        <f t="shared" si="2"/>
        <v>0.79048641116217</v>
      </c>
    </row>
    <row r="27" spans="1:9" s="389" customFormat="1" ht="17.25" customHeight="1">
      <c r="A27" s="24" t="s">
        <v>26</v>
      </c>
      <c r="B27" s="25" t="s">
        <v>192</v>
      </c>
      <c r="C27" s="26">
        <f>SUM(C28:C30)</f>
        <v>33171</v>
      </c>
      <c r="D27" s="26">
        <f>SUM(D28:D30)</f>
        <v>33171</v>
      </c>
      <c r="E27" s="26">
        <f>SUM(E28:E30)</f>
        <v>58336.36</v>
      </c>
      <c r="F27" s="26">
        <f>SUM(F28:F30)</f>
        <v>8098</v>
      </c>
      <c r="G27" s="26">
        <f>SUM(G28:G30)</f>
        <v>8098</v>
      </c>
      <c r="H27" s="26">
        <f>G27-E27</f>
        <v>-50238.36</v>
      </c>
      <c r="I27" s="27">
        <f>G27/E27</f>
        <v>0.13881565459346451</v>
      </c>
    </row>
    <row r="28" spans="1:9">
      <c r="A28" s="388">
        <v>1</v>
      </c>
      <c r="B28" s="28" t="s">
        <v>433</v>
      </c>
      <c r="C28" s="29">
        <f>90+16873-6000</f>
        <v>10963</v>
      </c>
      <c r="D28" s="29">
        <f>90+16873-6000</f>
        <v>10963</v>
      </c>
      <c r="E28" s="29">
        <v>22594.9</v>
      </c>
      <c r="F28" s="29">
        <v>8098</v>
      </c>
      <c r="G28" s="29">
        <f>7978+120</f>
        <v>8098</v>
      </c>
      <c r="H28" s="29">
        <f t="shared" si="1"/>
        <v>-2865</v>
      </c>
      <c r="I28" s="30">
        <f t="shared" si="2"/>
        <v>0.73866642342424516</v>
      </c>
    </row>
    <row r="29" spans="1:9" ht="17.25" customHeight="1">
      <c r="A29" s="388">
        <v>2</v>
      </c>
      <c r="B29" s="28" t="s">
        <v>434</v>
      </c>
      <c r="C29" s="29">
        <f>7669+14539</f>
        <v>22208</v>
      </c>
      <c r="D29" s="29">
        <f>7669+14539</f>
        <v>22208</v>
      </c>
      <c r="E29" s="29">
        <v>34442.21</v>
      </c>
      <c r="F29" s="29"/>
      <c r="G29" s="29"/>
      <c r="H29" s="29">
        <f t="shared" si="1"/>
        <v>-22208</v>
      </c>
      <c r="I29" s="30">
        <f t="shared" si="2"/>
        <v>0</v>
      </c>
    </row>
    <row r="30" spans="1:9">
      <c r="A30" s="388">
        <v>3</v>
      </c>
      <c r="B30" s="28" t="s">
        <v>193</v>
      </c>
      <c r="C30" s="29">
        <v>0</v>
      </c>
      <c r="D30" s="29"/>
      <c r="E30" s="29">
        <v>1299.25</v>
      </c>
      <c r="F30" s="29"/>
      <c r="G30" s="29"/>
      <c r="H30" s="29">
        <f t="shared" si="1"/>
        <v>0</v>
      </c>
      <c r="I30" s="30"/>
    </row>
    <row r="31" spans="1:9" s="389" customFormat="1" ht="17.25" customHeight="1">
      <c r="A31" s="35" t="s">
        <v>32</v>
      </c>
      <c r="B31" s="36" t="s">
        <v>31</v>
      </c>
      <c r="C31" s="37"/>
      <c r="D31" s="37"/>
      <c r="E31" s="37"/>
      <c r="F31" s="37"/>
      <c r="G31" s="37"/>
      <c r="H31" s="37">
        <f>G31-E31</f>
        <v>0</v>
      </c>
      <c r="I31" s="36"/>
    </row>
  </sheetData>
  <mergeCells count="11">
    <mergeCell ref="A1:B1"/>
    <mergeCell ref="E1:I1"/>
    <mergeCell ref="A2:I2"/>
    <mergeCell ref="E4:I4"/>
    <mergeCell ref="A5:A6"/>
    <mergeCell ref="B5:B6"/>
    <mergeCell ref="C5:D5"/>
    <mergeCell ref="E5:E6"/>
    <mergeCell ref="F5:G5"/>
    <mergeCell ref="H5:I5"/>
    <mergeCell ref="A3:I3"/>
  </mergeCells>
  <printOptions horizontalCentered="1"/>
  <pageMargins left="0.31496062992125984" right="0.27559055118110237" top="0.31496062992125984" bottom="0.31496062992125984" header="0.31496062992125984" footer="0.31496062992125984"/>
  <pageSetup paperSize="9" scale="95" orientation="landscape"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5"/>
  <sheetViews>
    <sheetView workbookViewId="0">
      <pane xSplit="3" ySplit="8" topLeftCell="D37" activePane="bottomRight" state="frozen"/>
      <selection pane="topRight" activeCell="D1" sqref="D1"/>
      <selection pane="bottomLeft" activeCell="A8" sqref="A8"/>
      <selection pane="bottomRight" activeCell="E41" sqref="E41"/>
    </sheetView>
  </sheetViews>
  <sheetFormatPr defaultRowHeight="15"/>
  <cols>
    <col min="1" max="1" width="6.42578125" style="2" customWidth="1"/>
    <col min="2" max="2" width="38.28515625" style="2" customWidth="1"/>
    <col min="3" max="3" width="14.28515625" style="2" customWidth="1"/>
    <col min="4" max="4" width="18" style="2" customWidth="1"/>
    <col min="5" max="5" width="14.28515625" style="2" customWidth="1"/>
    <col min="6" max="7" width="14.28515625" style="2" hidden="1" customWidth="1"/>
    <col min="8" max="8" width="11.140625" style="2" customWidth="1"/>
    <col min="9" max="9" width="12.140625" style="2" customWidth="1"/>
    <col min="10" max="12" width="14.28515625" style="2" customWidth="1"/>
    <col min="13" max="13" width="13.7109375" style="2" customWidth="1"/>
    <col min="14" max="14" width="16.85546875" style="2" customWidth="1"/>
    <col min="15" max="16384" width="9.140625" style="2"/>
  </cols>
  <sheetData>
    <row r="1" spans="1:14">
      <c r="A1" s="655" t="s">
        <v>168</v>
      </c>
      <c r="B1" s="655"/>
      <c r="C1" s="15"/>
      <c r="D1" s="243"/>
      <c r="E1" s="192"/>
      <c r="H1" s="243"/>
      <c r="J1" s="243"/>
      <c r="L1" s="655" t="s">
        <v>94</v>
      </c>
      <c r="M1" s="655"/>
    </row>
    <row r="2" spans="1:14">
      <c r="A2" s="655" t="s">
        <v>393</v>
      </c>
      <c r="B2" s="655"/>
      <c r="C2" s="655"/>
      <c r="D2" s="655"/>
      <c r="E2" s="655"/>
      <c r="F2" s="655"/>
      <c r="G2" s="655"/>
      <c r="H2" s="655"/>
      <c r="I2" s="655"/>
      <c r="J2" s="655"/>
      <c r="K2" s="655"/>
      <c r="L2" s="655"/>
      <c r="M2" s="655"/>
    </row>
    <row r="3" spans="1:14">
      <c r="A3" s="678" t="s">
        <v>643</v>
      </c>
      <c r="B3" s="678"/>
      <c r="C3" s="678"/>
      <c r="D3" s="678"/>
      <c r="E3" s="678"/>
      <c r="F3" s="678"/>
      <c r="G3" s="678"/>
      <c r="H3" s="678"/>
      <c r="I3" s="678"/>
      <c r="J3" s="678"/>
      <c r="K3" s="678"/>
      <c r="L3" s="678"/>
      <c r="M3" s="678"/>
    </row>
    <row r="4" spans="1:14">
      <c r="A4" s="244"/>
      <c r="B4" s="244"/>
      <c r="C4" s="199"/>
      <c r="D4" s="245"/>
      <c r="E4" s="199"/>
      <c r="F4" s="16"/>
      <c r="G4" s="245"/>
      <c r="H4" s="245"/>
      <c r="I4" s="245"/>
      <c r="J4" s="16"/>
      <c r="K4" s="782" t="s">
        <v>644</v>
      </c>
      <c r="L4" s="782"/>
      <c r="M4" s="782"/>
      <c r="N4" s="246"/>
    </row>
    <row r="5" spans="1:14" ht="23.25" customHeight="1">
      <c r="A5" s="776" t="s">
        <v>10</v>
      </c>
      <c r="B5" s="776" t="s">
        <v>635</v>
      </c>
      <c r="C5" s="781" t="s">
        <v>41</v>
      </c>
      <c r="D5" s="781" t="s">
        <v>636</v>
      </c>
      <c r="E5" s="781" t="s">
        <v>637</v>
      </c>
      <c r="F5" s="781" t="s">
        <v>245</v>
      </c>
      <c r="G5" s="781" t="s">
        <v>65</v>
      </c>
      <c r="H5" s="781" t="s">
        <v>95</v>
      </c>
      <c r="I5" s="781" t="s">
        <v>69</v>
      </c>
      <c r="J5" s="778" t="s">
        <v>96</v>
      </c>
      <c r="K5" s="779"/>
      <c r="L5" s="780"/>
      <c r="M5" s="781" t="s">
        <v>97</v>
      </c>
      <c r="N5" s="246"/>
    </row>
    <row r="6" spans="1:14" ht="58.5" customHeight="1">
      <c r="A6" s="777"/>
      <c r="B6" s="777"/>
      <c r="C6" s="777"/>
      <c r="D6" s="777"/>
      <c r="E6" s="777"/>
      <c r="F6" s="777"/>
      <c r="G6" s="777"/>
      <c r="H6" s="777"/>
      <c r="I6" s="777"/>
      <c r="J6" s="193" t="s">
        <v>41</v>
      </c>
      <c r="K6" s="193" t="s">
        <v>98</v>
      </c>
      <c r="L6" s="193" t="s">
        <v>85</v>
      </c>
      <c r="M6" s="777"/>
      <c r="N6" s="246"/>
    </row>
    <row r="7" spans="1:14">
      <c r="A7" s="247" t="s">
        <v>14</v>
      </c>
      <c r="B7" s="248"/>
      <c r="C7" s="247">
        <v>1</v>
      </c>
      <c r="D7" s="247">
        <v>2</v>
      </c>
      <c r="E7" s="247">
        <v>3</v>
      </c>
      <c r="F7" s="247">
        <v>4</v>
      </c>
      <c r="G7" s="247">
        <v>5</v>
      </c>
      <c r="H7" s="247">
        <v>4</v>
      </c>
      <c r="I7" s="247">
        <v>5</v>
      </c>
      <c r="J7" s="247">
        <v>6</v>
      </c>
      <c r="K7" s="247">
        <v>7</v>
      </c>
      <c r="L7" s="247">
        <v>8</v>
      </c>
      <c r="M7" s="247">
        <v>9</v>
      </c>
      <c r="N7" s="40"/>
    </row>
    <row r="8" spans="1:14" s="18" customFormat="1" ht="24" customHeight="1">
      <c r="A8" s="249"/>
      <c r="B8" s="249" t="s">
        <v>53</v>
      </c>
      <c r="C8" s="250">
        <f t="shared" ref="C8:M8" si="0">C9+C55+C56+C57+C58+C70</f>
        <v>431917.74899999989</v>
      </c>
      <c r="D8" s="403">
        <f t="shared" si="0"/>
        <v>90151</v>
      </c>
      <c r="E8" s="403">
        <f t="shared" si="0"/>
        <v>329348.74899999995</v>
      </c>
      <c r="F8" s="403">
        <f t="shared" si="0"/>
        <v>0</v>
      </c>
      <c r="G8" s="403">
        <f t="shared" si="0"/>
        <v>0</v>
      </c>
      <c r="H8" s="403">
        <f t="shared" si="0"/>
        <v>7063</v>
      </c>
      <c r="I8" s="403">
        <f t="shared" si="0"/>
        <v>5355</v>
      </c>
      <c r="J8" s="403">
        <f t="shared" si="0"/>
        <v>0</v>
      </c>
      <c r="K8" s="403">
        <f t="shared" si="0"/>
        <v>0</v>
      </c>
      <c r="L8" s="403">
        <f t="shared" si="0"/>
        <v>0</v>
      </c>
      <c r="M8" s="403">
        <f t="shared" si="0"/>
        <v>0</v>
      </c>
      <c r="N8" s="251"/>
    </row>
    <row r="9" spans="1:14" s="18" customFormat="1" ht="24" customHeight="1">
      <c r="A9" s="252" t="s">
        <v>16</v>
      </c>
      <c r="B9" s="253" t="s">
        <v>99</v>
      </c>
      <c r="C9" s="254">
        <f>C10+C33+C44</f>
        <v>361617.96999999991</v>
      </c>
      <c r="D9" s="404">
        <f t="shared" ref="D9:M9" si="1">D10+D33+D44</f>
        <v>90151</v>
      </c>
      <c r="E9" s="404">
        <f t="shared" si="1"/>
        <v>271466.96999999997</v>
      </c>
      <c r="F9" s="404">
        <f t="shared" si="1"/>
        <v>0</v>
      </c>
      <c r="G9" s="404">
        <f t="shared" si="1"/>
        <v>0</v>
      </c>
      <c r="H9" s="404">
        <f t="shared" si="1"/>
        <v>0</v>
      </c>
      <c r="I9" s="404">
        <f t="shared" si="1"/>
        <v>0</v>
      </c>
      <c r="J9" s="404">
        <f t="shared" si="1"/>
        <v>0</v>
      </c>
      <c r="K9" s="404">
        <f t="shared" si="1"/>
        <v>0</v>
      </c>
      <c r="L9" s="404">
        <f t="shared" si="1"/>
        <v>0</v>
      </c>
      <c r="M9" s="404">
        <f t="shared" si="1"/>
        <v>0</v>
      </c>
      <c r="N9" s="251"/>
    </row>
    <row r="10" spans="1:14" s="18" customFormat="1" ht="24" customHeight="1">
      <c r="A10" s="196" t="s">
        <v>246</v>
      </c>
      <c r="B10" s="194" t="s">
        <v>247</v>
      </c>
      <c r="C10" s="195">
        <f t="shared" ref="C10:M10" si="2">C11+C25</f>
        <v>57055.784999999989</v>
      </c>
      <c r="D10" s="405">
        <f t="shared" si="2"/>
        <v>9298</v>
      </c>
      <c r="E10" s="405">
        <f t="shared" si="2"/>
        <v>47757.784999999989</v>
      </c>
      <c r="F10" s="405">
        <f t="shared" si="2"/>
        <v>0</v>
      </c>
      <c r="G10" s="405">
        <f t="shared" si="2"/>
        <v>0</v>
      </c>
      <c r="H10" s="405">
        <f t="shared" si="2"/>
        <v>0</v>
      </c>
      <c r="I10" s="405">
        <f t="shared" si="2"/>
        <v>0</v>
      </c>
      <c r="J10" s="405">
        <f t="shared" si="2"/>
        <v>0</v>
      </c>
      <c r="K10" s="405">
        <f t="shared" si="2"/>
        <v>0</v>
      </c>
      <c r="L10" s="405">
        <f t="shared" si="2"/>
        <v>0</v>
      </c>
      <c r="M10" s="405">
        <f t="shared" si="2"/>
        <v>0</v>
      </c>
      <c r="N10" s="251"/>
    </row>
    <row r="11" spans="1:14" s="18" customFormat="1" ht="24" customHeight="1">
      <c r="A11" s="77" t="s">
        <v>149</v>
      </c>
      <c r="B11" s="78" t="s">
        <v>248</v>
      </c>
      <c r="C11" s="197">
        <f t="shared" ref="C11:M11" si="3">SUM(C12:C24)</f>
        <v>39376.124999999985</v>
      </c>
      <c r="D11" s="256">
        <f t="shared" si="3"/>
        <v>3098</v>
      </c>
      <c r="E11" s="256">
        <f t="shared" si="3"/>
        <v>36278.124999999985</v>
      </c>
      <c r="F11" s="256">
        <f t="shared" si="3"/>
        <v>0</v>
      </c>
      <c r="G11" s="256">
        <f t="shared" si="3"/>
        <v>0</v>
      </c>
      <c r="H11" s="256">
        <f t="shared" si="3"/>
        <v>0</v>
      </c>
      <c r="I11" s="256">
        <f t="shared" si="3"/>
        <v>0</v>
      </c>
      <c r="J11" s="256">
        <f t="shared" si="3"/>
        <v>0</v>
      </c>
      <c r="K11" s="256">
        <f t="shared" si="3"/>
        <v>0</v>
      </c>
      <c r="L11" s="256">
        <f t="shared" si="3"/>
        <v>0</v>
      </c>
      <c r="M11" s="256">
        <f t="shared" si="3"/>
        <v>0</v>
      </c>
    </row>
    <row r="12" spans="1:14" ht="24" customHeight="1">
      <c r="A12" s="103">
        <v>1</v>
      </c>
      <c r="B12" s="87" t="s">
        <v>249</v>
      </c>
      <c r="C12" s="88">
        <f>D12+E12+F12+G12+H12+I12+J12+M12</f>
        <v>6331.6819999999998</v>
      </c>
      <c r="D12" s="255"/>
      <c r="E12" s="255">
        <f>100+1437.612+4794.07</f>
        <v>6331.6819999999998</v>
      </c>
      <c r="F12" s="255"/>
      <c r="G12" s="255"/>
      <c r="H12" s="255"/>
      <c r="I12" s="255"/>
      <c r="J12" s="255">
        <f>SUM(K12:L12)</f>
        <v>0</v>
      </c>
      <c r="K12" s="255"/>
      <c r="L12" s="255"/>
      <c r="M12" s="255"/>
      <c r="N12" s="191"/>
    </row>
    <row r="13" spans="1:14" ht="24" customHeight="1">
      <c r="A13" s="103">
        <v>2</v>
      </c>
      <c r="B13" s="87" t="s">
        <v>250</v>
      </c>
      <c r="C13" s="88">
        <f>D13+E13+F13+G13+H13+I13+J13+M13</f>
        <v>962.80700000000002</v>
      </c>
      <c r="D13" s="255"/>
      <c r="E13" s="255">
        <f>962.807</f>
        <v>962.80700000000002</v>
      </c>
      <c r="F13" s="255"/>
      <c r="G13" s="255"/>
      <c r="H13" s="255"/>
      <c r="I13" s="255"/>
      <c r="J13" s="255">
        <f>SUM(K13:L13)</f>
        <v>0</v>
      </c>
      <c r="K13" s="255"/>
      <c r="L13" s="255"/>
      <c r="M13" s="255"/>
    </row>
    <row r="14" spans="1:14" ht="24" customHeight="1">
      <c r="A14" s="103">
        <v>3</v>
      </c>
      <c r="B14" s="87" t="s">
        <v>251</v>
      </c>
      <c r="C14" s="88">
        <f t="shared" ref="C14:C24" si="4">D14+E14+F14+G14+H14+I14+J14+M14</f>
        <v>912.13</v>
      </c>
      <c r="D14" s="255"/>
      <c r="E14" s="255">
        <f>912.13</f>
        <v>912.13</v>
      </c>
      <c r="F14" s="255"/>
      <c r="G14" s="255"/>
      <c r="H14" s="255"/>
      <c r="I14" s="255"/>
      <c r="J14" s="255">
        <f>SUM(K14:L14)</f>
        <v>0</v>
      </c>
      <c r="K14" s="255"/>
      <c r="L14" s="255"/>
      <c r="M14" s="255"/>
      <c r="N14" s="15"/>
    </row>
    <row r="15" spans="1:14" ht="24" customHeight="1">
      <c r="A15" s="103">
        <v>4</v>
      </c>
      <c r="B15" s="87" t="s">
        <v>252</v>
      </c>
      <c r="C15" s="88">
        <f t="shared" si="4"/>
        <v>2142.4580000000001</v>
      </c>
      <c r="D15" s="255"/>
      <c r="E15" s="255">
        <f>150+150+1260+582.458</f>
        <v>2142.4580000000001</v>
      </c>
      <c r="F15" s="255"/>
      <c r="G15" s="255"/>
      <c r="H15" s="255"/>
      <c r="I15" s="255"/>
      <c r="J15" s="255">
        <f t="shared" ref="J15:J20" si="5">SUM(K15:L15)</f>
        <v>0</v>
      </c>
      <c r="K15" s="255"/>
      <c r="L15" s="255"/>
      <c r="M15" s="255"/>
    </row>
    <row r="16" spans="1:14" ht="24" customHeight="1">
      <c r="A16" s="103">
        <v>5</v>
      </c>
      <c r="B16" s="87" t="s">
        <v>253</v>
      </c>
      <c r="C16" s="88">
        <f t="shared" si="4"/>
        <v>1203.2909999999999</v>
      </c>
      <c r="D16" s="255"/>
      <c r="E16" s="255">
        <f>1203.291</f>
        <v>1203.2909999999999</v>
      </c>
      <c r="F16" s="255"/>
      <c r="G16" s="255"/>
      <c r="H16" s="255"/>
      <c r="I16" s="255"/>
      <c r="J16" s="255">
        <f t="shared" si="5"/>
        <v>0</v>
      </c>
      <c r="K16" s="255"/>
      <c r="L16" s="255"/>
      <c r="M16" s="255"/>
    </row>
    <row r="17" spans="1:13" ht="24" customHeight="1">
      <c r="A17" s="103">
        <v>6</v>
      </c>
      <c r="B17" s="87" t="s">
        <v>254</v>
      </c>
      <c r="C17" s="88">
        <f t="shared" si="4"/>
        <v>933.72</v>
      </c>
      <c r="D17" s="255"/>
      <c r="E17" s="255">
        <v>933.72</v>
      </c>
      <c r="F17" s="255"/>
      <c r="G17" s="255"/>
      <c r="H17" s="255"/>
      <c r="I17" s="255"/>
      <c r="J17" s="255">
        <f t="shared" si="5"/>
        <v>0</v>
      </c>
      <c r="K17" s="255"/>
      <c r="L17" s="255"/>
      <c r="M17" s="255"/>
    </row>
    <row r="18" spans="1:13" ht="24" customHeight="1">
      <c r="A18" s="103">
        <v>7</v>
      </c>
      <c r="B18" s="87" t="s">
        <v>255</v>
      </c>
      <c r="C18" s="88">
        <f t="shared" si="4"/>
        <v>439.96800000000002</v>
      </c>
      <c r="D18" s="255"/>
      <c r="E18" s="255">
        <v>439.96800000000002</v>
      </c>
      <c r="F18" s="255"/>
      <c r="G18" s="255"/>
      <c r="H18" s="255"/>
      <c r="I18" s="255"/>
      <c r="J18" s="255">
        <f t="shared" si="5"/>
        <v>0</v>
      </c>
      <c r="K18" s="255"/>
      <c r="L18" s="255"/>
      <c r="M18" s="255"/>
    </row>
    <row r="19" spans="1:13" ht="24" customHeight="1">
      <c r="A19" s="103">
        <v>8</v>
      </c>
      <c r="B19" s="87" t="s">
        <v>256</v>
      </c>
      <c r="C19" s="88">
        <f t="shared" si="4"/>
        <v>18066.699999999997</v>
      </c>
      <c r="D19" s="255"/>
      <c r="E19" s="255">
        <f>91+941+65+14626.78+1376+966.92</f>
        <v>18066.699999999997</v>
      </c>
      <c r="F19" s="255"/>
      <c r="G19" s="255"/>
      <c r="H19" s="255"/>
      <c r="I19" s="255"/>
      <c r="J19" s="255">
        <f t="shared" si="5"/>
        <v>0</v>
      </c>
      <c r="K19" s="255"/>
      <c r="L19" s="255"/>
      <c r="M19" s="255"/>
    </row>
    <row r="20" spans="1:13" ht="24" customHeight="1">
      <c r="A20" s="103">
        <v>9</v>
      </c>
      <c r="B20" s="87" t="s">
        <v>257</v>
      </c>
      <c r="C20" s="88">
        <f t="shared" si="4"/>
        <v>698.33999999999992</v>
      </c>
      <c r="D20" s="255"/>
      <c r="E20" s="255">
        <f>150+40+508.34</f>
        <v>698.33999999999992</v>
      </c>
      <c r="F20" s="255"/>
      <c r="G20" s="255"/>
      <c r="H20" s="255"/>
      <c r="I20" s="255"/>
      <c r="J20" s="255">
        <f t="shared" si="5"/>
        <v>0</v>
      </c>
      <c r="K20" s="255"/>
      <c r="L20" s="255"/>
      <c r="M20" s="255"/>
    </row>
    <row r="21" spans="1:13" ht="24" customHeight="1">
      <c r="A21" s="103">
        <v>10</v>
      </c>
      <c r="B21" s="87" t="s">
        <v>258</v>
      </c>
      <c r="C21" s="88">
        <f t="shared" si="4"/>
        <v>4099.7280000000001</v>
      </c>
      <c r="D21" s="255">
        <f>3098</f>
        <v>3098</v>
      </c>
      <c r="E21" s="255">
        <f>50+951.728</f>
        <v>1001.728</v>
      </c>
      <c r="F21" s="255"/>
      <c r="G21" s="255"/>
      <c r="H21" s="255"/>
      <c r="I21" s="255"/>
      <c r="J21" s="255">
        <f>SUM(K21:L21)</f>
        <v>0</v>
      </c>
      <c r="K21" s="255"/>
      <c r="L21" s="255"/>
      <c r="M21" s="255"/>
    </row>
    <row r="22" spans="1:13" ht="24" customHeight="1">
      <c r="A22" s="103">
        <v>11</v>
      </c>
      <c r="B22" s="87" t="s">
        <v>259</v>
      </c>
      <c r="C22" s="88">
        <f t="shared" si="4"/>
        <v>2025.84</v>
      </c>
      <c r="D22" s="255"/>
      <c r="E22" s="255">
        <f>70+1060.86+344.98+550</f>
        <v>2025.84</v>
      </c>
      <c r="F22" s="255"/>
      <c r="G22" s="255"/>
      <c r="H22" s="255"/>
      <c r="I22" s="255"/>
      <c r="J22" s="255">
        <f>SUM(K22:L22)</f>
        <v>0</v>
      </c>
      <c r="K22" s="255"/>
      <c r="L22" s="255"/>
      <c r="M22" s="255"/>
    </row>
    <row r="23" spans="1:13" ht="24" customHeight="1">
      <c r="A23" s="103">
        <v>12</v>
      </c>
      <c r="B23" s="87" t="s">
        <v>260</v>
      </c>
      <c r="C23" s="88">
        <f t="shared" si="4"/>
        <v>909.27</v>
      </c>
      <c r="D23" s="255"/>
      <c r="E23" s="255">
        <f>889.27+20</f>
        <v>909.27</v>
      </c>
      <c r="F23" s="255"/>
      <c r="G23" s="255"/>
      <c r="H23" s="255"/>
      <c r="I23" s="255"/>
      <c r="J23" s="255">
        <f>SUM(K23:L23)</f>
        <v>0</v>
      </c>
      <c r="K23" s="255"/>
      <c r="L23" s="255"/>
      <c r="M23" s="255"/>
    </row>
    <row r="24" spans="1:13" ht="24" customHeight="1">
      <c r="A24" s="103">
        <v>13</v>
      </c>
      <c r="B24" s="87" t="s">
        <v>261</v>
      </c>
      <c r="C24" s="88">
        <f t="shared" si="4"/>
        <v>650.19100000000003</v>
      </c>
      <c r="D24" s="255"/>
      <c r="E24" s="255">
        <f>107+543.191</f>
        <v>650.19100000000003</v>
      </c>
      <c r="F24" s="255"/>
      <c r="G24" s="255"/>
      <c r="H24" s="255"/>
      <c r="I24" s="255"/>
      <c r="J24" s="255">
        <f>SUM(K24:L24)</f>
        <v>0</v>
      </c>
      <c r="K24" s="255"/>
      <c r="L24" s="255"/>
      <c r="M24" s="255"/>
    </row>
    <row r="25" spans="1:13" s="18" customFormat="1" ht="24" customHeight="1">
      <c r="A25" s="77" t="s">
        <v>150</v>
      </c>
      <c r="B25" s="78" t="s">
        <v>262</v>
      </c>
      <c r="C25" s="197">
        <f t="shared" ref="C25:M25" si="6">SUM(C26:C32)</f>
        <v>17679.660000000003</v>
      </c>
      <c r="D25" s="256">
        <f t="shared" si="6"/>
        <v>6200</v>
      </c>
      <c r="E25" s="256">
        <f>SUM(E26:E32)</f>
        <v>11479.66</v>
      </c>
      <c r="F25" s="256">
        <f t="shared" si="6"/>
        <v>0</v>
      </c>
      <c r="G25" s="256">
        <f t="shared" si="6"/>
        <v>0</v>
      </c>
      <c r="H25" s="256">
        <f t="shared" si="6"/>
        <v>0</v>
      </c>
      <c r="I25" s="256">
        <f t="shared" si="6"/>
        <v>0</v>
      </c>
      <c r="J25" s="256">
        <f t="shared" si="6"/>
        <v>0</v>
      </c>
      <c r="K25" s="256">
        <f t="shared" si="6"/>
        <v>0</v>
      </c>
      <c r="L25" s="256">
        <f t="shared" si="6"/>
        <v>0</v>
      </c>
      <c r="M25" s="256">
        <f t="shared" si="6"/>
        <v>0</v>
      </c>
    </row>
    <row r="26" spans="1:13" ht="24" customHeight="1">
      <c r="A26" s="103">
        <v>1</v>
      </c>
      <c r="B26" s="87" t="s">
        <v>263</v>
      </c>
      <c r="C26" s="88">
        <f t="shared" ref="C26:C32" si="7">D26+E26+F26+G26+H26+I26+J26+M26</f>
        <v>14720.552</v>
      </c>
      <c r="D26" s="255">
        <v>6200</v>
      </c>
      <c r="E26" s="255">
        <f>7970.552+550</f>
        <v>8520.5519999999997</v>
      </c>
      <c r="F26" s="255"/>
      <c r="G26" s="255"/>
      <c r="H26" s="255"/>
      <c r="I26" s="255"/>
      <c r="J26" s="255">
        <f t="shared" ref="J26:J32" si="8">SUM(K26:L26)</f>
        <v>0</v>
      </c>
      <c r="K26" s="255"/>
      <c r="L26" s="255"/>
      <c r="M26" s="255"/>
    </row>
    <row r="27" spans="1:13" ht="24" customHeight="1">
      <c r="A27" s="103">
        <v>2</v>
      </c>
      <c r="B27" s="87" t="s">
        <v>264</v>
      </c>
      <c r="C27" s="88">
        <f t="shared" si="7"/>
        <v>644.47400000000005</v>
      </c>
      <c r="D27" s="255"/>
      <c r="E27" s="255">
        <v>644.47400000000005</v>
      </c>
      <c r="F27" s="255"/>
      <c r="G27" s="255"/>
      <c r="H27" s="255"/>
      <c r="I27" s="255"/>
      <c r="J27" s="255">
        <f t="shared" si="8"/>
        <v>0</v>
      </c>
      <c r="K27" s="255"/>
      <c r="L27" s="255"/>
      <c r="M27" s="255"/>
    </row>
    <row r="28" spans="1:13" ht="24" customHeight="1">
      <c r="A28" s="103">
        <v>3</v>
      </c>
      <c r="B28" s="87" t="s">
        <v>265</v>
      </c>
      <c r="C28" s="88">
        <f t="shared" si="7"/>
        <v>699.55899999999997</v>
      </c>
      <c r="D28" s="255"/>
      <c r="E28" s="255">
        <v>699.55899999999997</v>
      </c>
      <c r="F28" s="255"/>
      <c r="G28" s="255"/>
      <c r="H28" s="255"/>
      <c r="I28" s="255"/>
      <c r="J28" s="255">
        <f t="shared" si="8"/>
        <v>0</v>
      </c>
      <c r="K28" s="255"/>
      <c r="L28" s="255"/>
      <c r="M28" s="255"/>
    </row>
    <row r="29" spans="1:13" ht="24" customHeight="1">
      <c r="A29" s="103">
        <v>4</v>
      </c>
      <c r="B29" s="87" t="s">
        <v>266</v>
      </c>
      <c r="C29" s="88">
        <f t="shared" si="7"/>
        <v>592.98800000000006</v>
      </c>
      <c r="D29" s="255"/>
      <c r="E29" s="255">
        <v>592.98800000000006</v>
      </c>
      <c r="F29" s="255"/>
      <c r="G29" s="255"/>
      <c r="H29" s="255"/>
      <c r="I29" s="255"/>
      <c r="J29" s="255">
        <f t="shared" si="8"/>
        <v>0</v>
      </c>
      <c r="K29" s="255"/>
      <c r="L29" s="255"/>
      <c r="M29" s="255"/>
    </row>
    <row r="30" spans="1:13" ht="24" customHeight="1">
      <c r="A30" s="103">
        <v>5</v>
      </c>
      <c r="B30" s="87" t="s">
        <v>267</v>
      </c>
      <c r="C30" s="88">
        <f t="shared" si="7"/>
        <v>465.2</v>
      </c>
      <c r="D30" s="255"/>
      <c r="E30" s="255">
        <f>465.2</f>
        <v>465.2</v>
      </c>
      <c r="F30" s="255"/>
      <c r="G30" s="255"/>
      <c r="H30" s="255"/>
      <c r="I30" s="255"/>
      <c r="J30" s="255">
        <f t="shared" si="8"/>
        <v>0</v>
      </c>
      <c r="K30" s="255"/>
      <c r="L30" s="255"/>
      <c r="M30" s="255"/>
    </row>
    <row r="31" spans="1:13" ht="24" customHeight="1">
      <c r="A31" s="103">
        <v>6</v>
      </c>
      <c r="B31" s="87" t="s">
        <v>268</v>
      </c>
      <c r="C31" s="88">
        <f t="shared" si="7"/>
        <v>436.18700000000001</v>
      </c>
      <c r="D31" s="255"/>
      <c r="E31" s="255">
        <v>436.18700000000001</v>
      </c>
      <c r="F31" s="255"/>
      <c r="G31" s="255"/>
      <c r="H31" s="255"/>
      <c r="I31" s="255"/>
      <c r="J31" s="255">
        <f t="shared" si="8"/>
        <v>0</v>
      </c>
      <c r="K31" s="255"/>
      <c r="L31" s="255"/>
      <c r="M31" s="255"/>
    </row>
    <row r="32" spans="1:13" ht="24" customHeight="1">
      <c r="A32" s="103">
        <v>7</v>
      </c>
      <c r="B32" s="87" t="s">
        <v>269</v>
      </c>
      <c r="C32" s="88">
        <f t="shared" si="7"/>
        <v>120.7</v>
      </c>
      <c r="D32" s="255"/>
      <c r="E32" s="255">
        <v>120.7</v>
      </c>
      <c r="F32" s="255"/>
      <c r="G32" s="255"/>
      <c r="H32" s="255"/>
      <c r="I32" s="255"/>
      <c r="J32" s="255">
        <f t="shared" si="8"/>
        <v>0</v>
      </c>
      <c r="K32" s="255"/>
      <c r="L32" s="255"/>
      <c r="M32" s="255"/>
    </row>
    <row r="33" spans="1:14" s="18" customFormat="1" ht="24" customHeight="1">
      <c r="A33" s="77" t="s">
        <v>271</v>
      </c>
      <c r="B33" s="78" t="s">
        <v>272</v>
      </c>
      <c r="C33" s="197">
        <f t="shared" ref="C33:M33" si="9">SUM(C34:C42)</f>
        <v>298909.41199999995</v>
      </c>
      <c r="D33" s="256">
        <f t="shared" si="9"/>
        <v>80853</v>
      </c>
      <c r="E33" s="256">
        <f t="shared" si="9"/>
        <v>218056.41200000001</v>
      </c>
      <c r="F33" s="256">
        <f t="shared" si="9"/>
        <v>0</v>
      </c>
      <c r="G33" s="256">
        <f t="shared" si="9"/>
        <v>0</v>
      </c>
      <c r="H33" s="256">
        <f t="shared" si="9"/>
        <v>0</v>
      </c>
      <c r="I33" s="256">
        <f t="shared" si="9"/>
        <v>0</v>
      </c>
      <c r="J33" s="256">
        <f t="shared" si="9"/>
        <v>0</v>
      </c>
      <c r="K33" s="256">
        <f t="shared" si="9"/>
        <v>0</v>
      </c>
      <c r="L33" s="256">
        <f t="shared" si="9"/>
        <v>0</v>
      </c>
      <c r="M33" s="256">
        <f t="shared" si="9"/>
        <v>0</v>
      </c>
    </row>
    <row r="34" spans="1:14" ht="24" customHeight="1">
      <c r="A34" s="103">
        <v>1</v>
      </c>
      <c r="B34" s="87" t="s">
        <v>412</v>
      </c>
      <c r="C34" s="88">
        <f t="shared" ref="C34:C41" si="10">D34+E34+F34+G34+H34+I34+J34+M34</f>
        <v>194224.48</v>
      </c>
      <c r="D34" s="255"/>
      <c r="E34" s="255">
        <f>194315.48-91</f>
        <v>194224.48</v>
      </c>
      <c r="F34" s="255"/>
      <c r="G34" s="255"/>
      <c r="H34" s="255"/>
      <c r="I34" s="255"/>
      <c r="J34" s="255">
        <f t="shared" ref="J34:J41" si="11">SUM(K34:L34)</f>
        <v>0</v>
      </c>
      <c r="K34" s="255"/>
      <c r="L34" s="255"/>
      <c r="M34" s="255"/>
    </row>
    <row r="35" spans="1:14" ht="24" customHeight="1">
      <c r="A35" s="103">
        <v>2</v>
      </c>
      <c r="B35" s="87" t="s">
        <v>270</v>
      </c>
      <c r="C35" s="88">
        <f t="shared" ref="C35" si="12">D35+E35+F35+G35+H35+I35+J35+M35</f>
        <v>802.71</v>
      </c>
      <c r="D35" s="255"/>
      <c r="E35" s="255">
        <v>802.71</v>
      </c>
      <c r="F35" s="255"/>
      <c r="G35" s="255"/>
      <c r="H35" s="255"/>
      <c r="I35" s="255"/>
      <c r="J35" s="255">
        <f t="shared" ref="J35" si="13">SUM(K35:L35)</f>
        <v>0</v>
      </c>
      <c r="K35" s="255"/>
      <c r="L35" s="255"/>
      <c r="M35" s="255"/>
    </row>
    <row r="36" spans="1:14" ht="24" customHeight="1">
      <c r="A36" s="103">
        <v>3</v>
      </c>
      <c r="B36" s="87" t="s">
        <v>274</v>
      </c>
      <c r="C36" s="88">
        <f t="shared" si="10"/>
        <v>1351.81</v>
      </c>
      <c r="D36" s="255"/>
      <c r="E36" s="255">
        <v>1351.81</v>
      </c>
      <c r="F36" s="255"/>
      <c r="G36" s="255"/>
      <c r="H36" s="255"/>
      <c r="I36" s="255"/>
      <c r="J36" s="255">
        <f t="shared" si="11"/>
        <v>0</v>
      </c>
      <c r="K36" s="255"/>
      <c r="L36" s="255"/>
      <c r="M36" s="255"/>
    </row>
    <row r="37" spans="1:14" ht="35.25" customHeight="1">
      <c r="A37" s="103">
        <v>4</v>
      </c>
      <c r="B37" s="87" t="s">
        <v>381</v>
      </c>
      <c r="C37" s="88">
        <f t="shared" ref="C37" si="14">D37+E37+F37+G37+H37+I37+J37+M37</f>
        <v>2613</v>
      </c>
      <c r="D37" s="255"/>
      <c r="E37" s="255">
        <f>1242+303+1068</f>
        <v>2613</v>
      </c>
      <c r="F37" s="255"/>
      <c r="G37" s="255"/>
      <c r="H37" s="255"/>
      <c r="I37" s="255"/>
      <c r="J37" s="255">
        <f t="shared" ref="J37" si="15">SUM(K37:L37)</f>
        <v>0</v>
      </c>
      <c r="K37" s="255"/>
      <c r="L37" s="255"/>
      <c r="M37" s="255"/>
    </row>
    <row r="38" spans="1:14" ht="24" customHeight="1">
      <c r="A38" s="103">
        <v>5</v>
      </c>
      <c r="B38" s="87" t="s">
        <v>331</v>
      </c>
      <c r="C38" s="88">
        <f t="shared" ref="C38" si="16">D38+E38+F38+G38+H38+I38+J38+M38</f>
        <v>2213.6219999999998</v>
      </c>
      <c r="D38" s="255"/>
      <c r="E38" s="255">
        <f>2213.622</f>
        <v>2213.6219999999998</v>
      </c>
      <c r="F38" s="255"/>
      <c r="G38" s="255"/>
      <c r="H38" s="255"/>
      <c r="I38" s="255"/>
      <c r="J38" s="255">
        <f t="shared" ref="J38" si="17">SUM(K38:L38)</f>
        <v>0</v>
      </c>
      <c r="K38" s="255"/>
      <c r="L38" s="255"/>
      <c r="M38" s="255"/>
    </row>
    <row r="39" spans="1:14" ht="24" customHeight="1">
      <c r="A39" s="103">
        <v>6</v>
      </c>
      <c r="B39" s="87" t="s">
        <v>330</v>
      </c>
      <c r="C39" s="88">
        <f t="shared" si="10"/>
        <v>6949</v>
      </c>
      <c r="D39" s="255"/>
      <c r="E39" s="255">
        <f>5379+570+700+300</f>
        <v>6949</v>
      </c>
      <c r="F39" s="255"/>
      <c r="G39" s="255"/>
      <c r="H39" s="255"/>
      <c r="I39" s="255"/>
      <c r="J39" s="255">
        <f t="shared" si="11"/>
        <v>0</v>
      </c>
      <c r="K39" s="255"/>
      <c r="L39" s="255"/>
      <c r="M39" s="255"/>
      <c r="N39" s="192"/>
    </row>
    <row r="40" spans="1:14" ht="24" customHeight="1">
      <c r="A40" s="103">
        <v>7</v>
      </c>
      <c r="B40" s="87" t="s">
        <v>275</v>
      </c>
      <c r="C40" s="88">
        <f t="shared" si="10"/>
        <v>85957</v>
      </c>
      <c r="D40" s="255">
        <f>74693+3739</f>
        <v>78432</v>
      </c>
      <c r="E40" s="255">
        <v>7525</v>
      </c>
      <c r="F40" s="255"/>
      <c r="G40" s="255"/>
      <c r="H40" s="255"/>
      <c r="I40" s="255"/>
      <c r="J40" s="255">
        <f t="shared" si="11"/>
        <v>0</v>
      </c>
      <c r="K40" s="255"/>
      <c r="L40" s="255"/>
      <c r="M40" s="255"/>
    </row>
    <row r="41" spans="1:14" ht="47.25" customHeight="1">
      <c r="A41" s="103">
        <v>8</v>
      </c>
      <c r="B41" s="107" t="s">
        <v>405</v>
      </c>
      <c r="C41" s="88">
        <f t="shared" si="10"/>
        <v>2421</v>
      </c>
      <c r="D41" s="255">
        <v>2421</v>
      </c>
      <c r="E41" s="255"/>
      <c r="F41" s="255"/>
      <c r="G41" s="255"/>
      <c r="H41" s="255"/>
      <c r="I41" s="255"/>
      <c r="J41" s="255">
        <f t="shared" si="11"/>
        <v>0</v>
      </c>
      <c r="K41" s="255"/>
      <c r="L41" s="255"/>
      <c r="M41" s="255"/>
    </row>
    <row r="42" spans="1:14" ht="47.25" customHeight="1">
      <c r="A42" s="103">
        <v>9</v>
      </c>
      <c r="B42" s="406" t="s">
        <v>652</v>
      </c>
      <c r="C42" s="88">
        <f t="shared" ref="C42" si="18">D42+E42+F42+G42+H42+I42+J42+M42</f>
        <v>2376.79</v>
      </c>
      <c r="D42" s="255"/>
      <c r="E42" s="255">
        <v>2376.79</v>
      </c>
      <c r="F42" s="255"/>
      <c r="G42" s="255"/>
      <c r="H42" s="255"/>
      <c r="I42" s="255"/>
      <c r="J42" s="255">
        <f t="shared" ref="J42" si="19">SUM(K42:L42)</f>
        <v>0</v>
      </c>
      <c r="K42" s="255"/>
      <c r="L42" s="255"/>
      <c r="M42" s="255"/>
    </row>
    <row r="43" spans="1:14" ht="47.25" customHeight="1">
      <c r="A43" s="103">
        <v>10</v>
      </c>
      <c r="B43" s="414"/>
      <c r="C43" s="88"/>
      <c r="D43" s="255"/>
      <c r="E43" s="255"/>
      <c r="F43" s="255"/>
      <c r="G43" s="255"/>
      <c r="H43" s="255"/>
      <c r="I43" s="255"/>
      <c r="J43" s="255"/>
      <c r="K43" s="255"/>
      <c r="L43" s="255"/>
      <c r="M43" s="255"/>
    </row>
    <row r="44" spans="1:14" s="18" customFormat="1" ht="24" customHeight="1">
      <c r="A44" s="77" t="s">
        <v>279</v>
      </c>
      <c r="B44" s="78" t="s">
        <v>280</v>
      </c>
      <c r="C44" s="197">
        <f>SUM(C45:C54)</f>
        <v>5652.7730000000001</v>
      </c>
      <c r="D44" s="256">
        <f t="shared" ref="D44:M44" si="20">SUM(D45:D54)</f>
        <v>0</v>
      </c>
      <c r="E44" s="256">
        <f t="shared" si="20"/>
        <v>5652.7730000000001</v>
      </c>
      <c r="F44" s="256">
        <f t="shared" si="20"/>
        <v>0</v>
      </c>
      <c r="G44" s="256">
        <f t="shared" si="20"/>
        <v>0</v>
      </c>
      <c r="H44" s="256">
        <f t="shared" si="20"/>
        <v>0</v>
      </c>
      <c r="I44" s="256">
        <f t="shared" si="20"/>
        <v>0</v>
      </c>
      <c r="J44" s="256">
        <f t="shared" si="20"/>
        <v>0</v>
      </c>
      <c r="K44" s="256">
        <f t="shared" si="20"/>
        <v>0</v>
      </c>
      <c r="L44" s="256">
        <f t="shared" si="20"/>
        <v>0</v>
      </c>
      <c r="M44" s="256">
        <f t="shared" si="20"/>
        <v>0</v>
      </c>
    </row>
    <row r="45" spans="1:14" ht="24" customHeight="1">
      <c r="A45" s="103">
        <v>1</v>
      </c>
      <c r="B45" s="87" t="s">
        <v>281</v>
      </c>
      <c r="C45" s="88">
        <f t="shared" ref="C45:C54" si="21">D45+E45+F45+G45+H45+I45+J45+M45</f>
        <v>1240</v>
      </c>
      <c r="D45" s="255"/>
      <c r="E45" s="255">
        <v>1240</v>
      </c>
      <c r="F45" s="88"/>
      <c r="G45" s="88"/>
      <c r="H45" s="88"/>
      <c r="I45" s="88"/>
      <c r="J45" s="88">
        <f t="shared" ref="J45:J53" si="22">SUM(K45:L45)</f>
        <v>0</v>
      </c>
      <c r="K45" s="88"/>
      <c r="L45" s="88"/>
      <c r="M45" s="88"/>
    </row>
    <row r="46" spans="1:14" ht="24" customHeight="1">
      <c r="A46" s="103">
        <v>2</v>
      </c>
      <c r="B46" s="87" t="s">
        <v>282</v>
      </c>
      <c r="C46" s="88">
        <f t="shared" si="21"/>
        <v>2266.7730000000001</v>
      </c>
      <c r="D46" s="255"/>
      <c r="E46" s="255">
        <v>2266.7730000000001</v>
      </c>
      <c r="F46" s="88"/>
      <c r="G46" s="88"/>
      <c r="H46" s="88"/>
      <c r="I46" s="88"/>
      <c r="J46" s="88">
        <f t="shared" si="22"/>
        <v>0</v>
      </c>
      <c r="K46" s="88"/>
      <c r="L46" s="88"/>
      <c r="M46" s="88"/>
    </row>
    <row r="47" spans="1:14" ht="24" customHeight="1">
      <c r="A47" s="103">
        <v>3</v>
      </c>
      <c r="B47" s="87" t="s">
        <v>283</v>
      </c>
      <c r="C47" s="88">
        <f t="shared" si="21"/>
        <v>50</v>
      </c>
      <c r="D47" s="255"/>
      <c r="E47" s="255">
        <v>50</v>
      </c>
      <c r="F47" s="88"/>
      <c r="G47" s="88"/>
      <c r="H47" s="88"/>
      <c r="I47" s="88"/>
      <c r="J47" s="88">
        <f t="shared" si="22"/>
        <v>0</v>
      </c>
      <c r="K47" s="88"/>
      <c r="L47" s="88"/>
      <c r="M47" s="88"/>
    </row>
    <row r="48" spans="1:14" ht="24" customHeight="1">
      <c r="A48" s="103">
        <v>4</v>
      </c>
      <c r="B48" s="87" t="s">
        <v>284</v>
      </c>
      <c r="C48" s="88">
        <f t="shared" si="21"/>
        <v>30</v>
      </c>
      <c r="D48" s="255"/>
      <c r="E48" s="255">
        <v>30</v>
      </c>
      <c r="F48" s="88"/>
      <c r="G48" s="88"/>
      <c r="H48" s="88"/>
      <c r="I48" s="88"/>
      <c r="J48" s="88">
        <f t="shared" si="22"/>
        <v>0</v>
      </c>
      <c r="K48" s="88"/>
      <c r="L48" s="88"/>
      <c r="M48" s="88"/>
    </row>
    <row r="49" spans="1:13" ht="24" customHeight="1">
      <c r="A49" s="103">
        <v>5</v>
      </c>
      <c r="B49" s="87" t="s">
        <v>285</v>
      </c>
      <c r="C49" s="88">
        <f t="shared" si="21"/>
        <v>50</v>
      </c>
      <c r="D49" s="255"/>
      <c r="E49" s="255">
        <v>50</v>
      </c>
      <c r="F49" s="88"/>
      <c r="G49" s="88"/>
      <c r="H49" s="88"/>
      <c r="I49" s="88"/>
      <c r="J49" s="88">
        <f t="shared" si="22"/>
        <v>0</v>
      </c>
      <c r="K49" s="88"/>
      <c r="L49" s="88"/>
      <c r="M49" s="88"/>
    </row>
    <row r="50" spans="1:13" ht="24" customHeight="1">
      <c r="A50" s="103">
        <v>6</v>
      </c>
      <c r="B50" s="87" t="s">
        <v>290</v>
      </c>
      <c r="C50" s="88">
        <f t="shared" ref="C50:C51" si="23">D50+E50+F50+G50+H50+I50+J50+M50</f>
        <v>370</v>
      </c>
      <c r="D50" s="255"/>
      <c r="E50" s="255">
        <v>370</v>
      </c>
      <c r="F50" s="88"/>
      <c r="G50" s="88"/>
      <c r="H50" s="88"/>
      <c r="I50" s="88"/>
      <c r="J50" s="88">
        <f t="shared" ref="J50:J51" si="24">SUM(K50:L50)</f>
        <v>0</v>
      </c>
      <c r="K50" s="88"/>
      <c r="L50" s="88"/>
      <c r="M50" s="88"/>
    </row>
    <row r="51" spans="1:13" ht="24" customHeight="1">
      <c r="A51" s="103">
        <v>7</v>
      </c>
      <c r="B51" s="87" t="s">
        <v>286</v>
      </c>
      <c r="C51" s="88">
        <f t="shared" si="23"/>
        <v>16</v>
      </c>
      <c r="D51" s="255"/>
      <c r="E51" s="255">
        <v>16</v>
      </c>
      <c r="F51" s="88"/>
      <c r="G51" s="88"/>
      <c r="H51" s="88"/>
      <c r="I51" s="88"/>
      <c r="J51" s="88">
        <f t="shared" si="24"/>
        <v>0</v>
      </c>
      <c r="K51" s="88"/>
      <c r="L51" s="88"/>
      <c r="M51" s="88"/>
    </row>
    <row r="52" spans="1:13" ht="33.75" customHeight="1">
      <c r="A52" s="103">
        <v>8</v>
      </c>
      <c r="B52" s="87" t="s">
        <v>332</v>
      </c>
      <c r="C52" s="88">
        <f t="shared" si="21"/>
        <v>30</v>
      </c>
      <c r="D52" s="255"/>
      <c r="E52" s="255">
        <v>30</v>
      </c>
      <c r="F52" s="88"/>
      <c r="G52" s="88"/>
      <c r="H52" s="88"/>
      <c r="I52" s="88"/>
      <c r="J52" s="88">
        <f t="shared" si="22"/>
        <v>0</v>
      </c>
      <c r="K52" s="88"/>
      <c r="L52" s="88"/>
      <c r="M52" s="88"/>
    </row>
    <row r="53" spans="1:13" ht="24" customHeight="1">
      <c r="A53" s="103">
        <v>9</v>
      </c>
      <c r="B53" s="87" t="s">
        <v>291</v>
      </c>
      <c r="C53" s="88">
        <f t="shared" si="21"/>
        <v>1500</v>
      </c>
      <c r="D53" s="255"/>
      <c r="E53" s="255">
        <v>1500</v>
      </c>
      <c r="F53" s="88"/>
      <c r="G53" s="88"/>
      <c r="H53" s="88"/>
      <c r="I53" s="88"/>
      <c r="J53" s="88">
        <f t="shared" si="22"/>
        <v>0</v>
      </c>
      <c r="K53" s="88"/>
      <c r="L53" s="88"/>
      <c r="M53" s="88"/>
    </row>
    <row r="54" spans="1:13" ht="51" customHeight="1">
      <c r="A54" s="103">
        <v>10</v>
      </c>
      <c r="B54" s="257" t="s">
        <v>380</v>
      </c>
      <c r="C54" s="88">
        <f t="shared" si="21"/>
        <v>100</v>
      </c>
      <c r="D54" s="255"/>
      <c r="E54" s="255">
        <v>100</v>
      </c>
      <c r="F54" s="88"/>
      <c r="G54" s="88"/>
      <c r="H54" s="88"/>
      <c r="I54" s="88"/>
      <c r="J54" s="88">
        <f t="shared" ref="J54" si="25">SUM(K54:L54)</f>
        <v>0</v>
      </c>
      <c r="K54" s="88"/>
      <c r="L54" s="88"/>
      <c r="M54" s="88"/>
    </row>
    <row r="55" spans="1:13" ht="41.25" customHeight="1">
      <c r="A55" s="77" t="s">
        <v>26</v>
      </c>
      <c r="B55" s="78" t="s">
        <v>293</v>
      </c>
      <c r="C55" s="88">
        <f t="shared" ref="C55:C57" si="26">D55+E55+F55+G55+H55+I55+J55+M55</f>
        <v>0</v>
      </c>
      <c r="D55" s="255"/>
      <c r="E55" s="255"/>
      <c r="F55" s="88"/>
      <c r="G55" s="88"/>
      <c r="H55" s="88"/>
      <c r="I55" s="88"/>
      <c r="J55" s="88">
        <f>SUM(K55:L55)</f>
        <v>0</v>
      </c>
      <c r="K55" s="88"/>
      <c r="L55" s="88"/>
      <c r="M55" s="88"/>
    </row>
    <row r="56" spans="1:13" s="18" customFormat="1" ht="33" customHeight="1">
      <c r="A56" s="77" t="s">
        <v>26</v>
      </c>
      <c r="B56" s="194" t="s">
        <v>101</v>
      </c>
      <c r="C56" s="197">
        <f t="shared" si="26"/>
        <v>5355</v>
      </c>
      <c r="D56" s="256"/>
      <c r="E56" s="256"/>
      <c r="F56" s="197"/>
      <c r="G56" s="197"/>
      <c r="H56" s="197"/>
      <c r="I56" s="197">
        <v>5355</v>
      </c>
      <c r="J56" s="197">
        <f>SUM(K56:L56)</f>
        <v>0</v>
      </c>
      <c r="K56" s="197"/>
      <c r="L56" s="197"/>
      <c r="M56" s="197"/>
    </row>
    <row r="57" spans="1:13" s="18" customFormat="1" ht="24" customHeight="1">
      <c r="A57" s="77" t="s">
        <v>32</v>
      </c>
      <c r="B57" s="78" t="s">
        <v>100</v>
      </c>
      <c r="C57" s="197">
        <f t="shared" si="26"/>
        <v>5849</v>
      </c>
      <c r="D57" s="256"/>
      <c r="E57" s="256"/>
      <c r="F57" s="197"/>
      <c r="G57" s="197"/>
      <c r="H57" s="197">
        <v>5849</v>
      </c>
      <c r="I57" s="197"/>
      <c r="J57" s="197">
        <f>SUM(K57:L57)</f>
        <v>0</v>
      </c>
      <c r="K57" s="197"/>
      <c r="L57" s="197"/>
      <c r="M57" s="197"/>
    </row>
    <row r="58" spans="1:13" s="18" customFormat="1" ht="36.75" customHeight="1">
      <c r="A58" s="77" t="s">
        <v>64</v>
      </c>
      <c r="B58" s="78" t="s">
        <v>295</v>
      </c>
      <c r="C58" s="197">
        <f>SUM(C59:C69)</f>
        <v>59095.779000000002</v>
      </c>
      <c r="D58" s="197">
        <f t="shared" ref="D58:M58" si="27">SUM(D59:D69)</f>
        <v>0</v>
      </c>
      <c r="E58" s="197">
        <f t="shared" si="27"/>
        <v>57881.779000000002</v>
      </c>
      <c r="F58" s="197">
        <f t="shared" si="27"/>
        <v>0</v>
      </c>
      <c r="G58" s="197">
        <f t="shared" si="27"/>
        <v>0</v>
      </c>
      <c r="H58" s="197">
        <f t="shared" si="27"/>
        <v>1214</v>
      </c>
      <c r="I58" s="197">
        <f t="shared" si="27"/>
        <v>0</v>
      </c>
      <c r="J58" s="197">
        <f t="shared" si="27"/>
        <v>0</v>
      </c>
      <c r="K58" s="197">
        <f t="shared" si="27"/>
        <v>0</v>
      </c>
      <c r="L58" s="197">
        <f t="shared" si="27"/>
        <v>0</v>
      </c>
      <c r="M58" s="197">
        <f t="shared" si="27"/>
        <v>0</v>
      </c>
    </row>
    <row r="59" spans="1:13" ht="24" customHeight="1">
      <c r="A59" s="77"/>
      <c r="B59" s="87" t="s">
        <v>277</v>
      </c>
      <c r="C59" s="88">
        <f t="shared" ref="C59:C69" si="28">D59+E59+F59+G59+H59+I59+J59+M59</f>
        <v>4201.1980000000003</v>
      </c>
      <c r="D59" s="88"/>
      <c r="E59" s="258">
        <v>4085.1979999999999</v>
      </c>
      <c r="F59" s="258"/>
      <c r="G59" s="258"/>
      <c r="H59" s="258">
        <v>116</v>
      </c>
      <c r="I59" s="88"/>
      <c r="J59" s="88"/>
      <c r="K59" s="88"/>
      <c r="L59" s="88"/>
      <c r="M59" s="88"/>
    </row>
    <row r="60" spans="1:13" ht="24" customHeight="1">
      <c r="A60" s="77"/>
      <c r="B60" s="87" t="s">
        <v>159</v>
      </c>
      <c r="C60" s="88">
        <f t="shared" si="28"/>
        <v>4266.1899999999996</v>
      </c>
      <c r="D60" s="88"/>
      <c r="E60" s="258">
        <v>4182.1899999999996</v>
      </c>
      <c r="F60" s="258"/>
      <c r="G60" s="258"/>
      <c r="H60" s="258">
        <v>84</v>
      </c>
      <c r="I60" s="88"/>
      <c r="J60" s="88"/>
      <c r="K60" s="88"/>
      <c r="L60" s="88"/>
      <c r="M60" s="88"/>
    </row>
    <row r="61" spans="1:13" ht="24" customHeight="1">
      <c r="A61" s="77"/>
      <c r="B61" s="87" t="s">
        <v>160</v>
      </c>
      <c r="C61" s="88">
        <f t="shared" si="28"/>
        <v>4336.9129999999996</v>
      </c>
      <c r="D61" s="88"/>
      <c r="E61" s="258">
        <v>4250.9129999999996</v>
      </c>
      <c r="F61" s="258"/>
      <c r="G61" s="258"/>
      <c r="H61" s="258">
        <v>86</v>
      </c>
      <c r="I61" s="88"/>
      <c r="J61" s="88"/>
      <c r="K61" s="88"/>
      <c r="L61" s="88"/>
      <c r="M61" s="88"/>
    </row>
    <row r="62" spans="1:13" ht="24" customHeight="1">
      <c r="A62" s="77"/>
      <c r="B62" s="87" t="s">
        <v>158</v>
      </c>
      <c r="C62" s="88">
        <f t="shared" si="28"/>
        <v>4261.2969999999996</v>
      </c>
      <c r="D62" s="88"/>
      <c r="E62" s="258">
        <v>4177.2969999999996</v>
      </c>
      <c r="F62" s="258"/>
      <c r="G62" s="258"/>
      <c r="H62" s="258">
        <v>84</v>
      </c>
      <c r="I62" s="88"/>
      <c r="J62" s="88"/>
      <c r="K62" s="88"/>
      <c r="L62" s="88"/>
      <c r="M62" s="88"/>
    </row>
    <row r="63" spans="1:13" ht="24" customHeight="1">
      <c r="A63" s="77"/>
      <c r="B63" s="87" t="s">
        <v>161</v>
      </c>
      <c r="C63" s="88">
        <f t="shared" si="28"/>
        <v>5420.5659999999998</v>
      </c>
      <c r="D63" s="88"/>
      <c r="E63" s="258">
        <v>5312.5659999999998</v>
      </c>
      <c r="F63" s="258"/>
      <c r="G63" s="258"/>
      <c r="H63" s="258">
        <v>108</v>
      </c>
      <c r="I63" s="88"/>
      <c r="J63" s="88"/>
      <c r="K63" s="88"/>
      <c r="L63" s="88"/>
      <c r="M63" s="88"/>
    </row>
    <row r="64" spans="1:13" ht="24" customHeight="1">
      <c r="A64" s="77"/>
      <c r="B64" s="87" t="s">
        <v>162</v>
      </c>
      <c r="C64" s="88">
        <f t="shared" si="28"/>
        <v>4695.3999999999996</v>
      </c>
      <c r="D64" s="88"/>
      <c r="E64" s="258">
        <v>4602.3999999999996</v>
      </c>
      <c r="F64" s="258"/>
      <c r="G64" s="258"/>
      <c r="H64" s="258">
        <v>93</v>
      </c>
      <c r="I64" s="88"/>
      <c r="J64" s="88"/>
      <c r="K64" s="88"/>
      <c r="L64" s="88"/>
      <c r="M64" s="88"/>
    </row>
    <row r="65" spans="1:13" ht="24" customHeight="1">
      <c r="A65" s="77"/>
      <c r="B65" s="87" t="s">
        <v>278</v>
      </c>
      <c r="C65" s="88">
        <f t="shared" si="28"/>
        <v>4615.9620000000004</v>
      </c>
      <c r="D65" s="88"/>
      <c r="E65" s="258">
        <v>4524.9620000000004</v>
      </c>
      <c r="F65" s="258"/>
      <c r="G65" s="258"/>
      <c r="H65" s="258">
        <v>91</v>
      </c>
      <c r="I65" s="88"/>
      <c r="J65" s="88"/>
      <c r="K65" s="88"/>
      <c r="L65" s="88"/>
      <c r="M65" s="88"/>
    </row>
    <row r="66" spans="1:13" ht="24" customHeight="1">
      <c r="A66" s="77"/>
      <c r="B66" s="87" t="s">
        <v>163</v>
      </c>
      <c r="C66" s="88">
        <f t="shared" si="28"/>
        <v>6714.96</v>
      </c>
      <c r="D66" s="88"/>
      <c r="E66" s="258">
        <v>6582.96</v>
      </c>
      <c r="F66" s="258"/>
      <c r="G66" s="258"/>
      <c r="H66" s="258">
        <v>132</v>
      </c>
      <c r="I66" s="88"/>
      <c r="J66" s="88"/>
      <c r="K66" s="88"/>
      <c r="L66" s="88"/>
      <c r="M66" s="88"/>
    </row>
    <row r="67" spans="1:13" ht="24" customHeight="1">
      <c r="A67" s="77"/>
      <c r="B67" s="87" t="s">
        <v>167</v>
      </c>
      <c r="C67" s="88">
        <f t="shared" si="28"/>
        <v>6889.616</v>
      </c>
      <c r="D67" s="88"/>
      <c r="E67" s="258">
        <v>6753.616</v>
      </c>
      <c r="F67" s="258"/>
      <c r="G67" s="258"/>
      <c r="H67" s="258">
        <v>136</v>
      </c>
      <c r="I67" s="88"/>
      <c r="J67" s="88"/>
      <c r="K67" s="88"/>
      <c r="L67" s="88"/>
      <c r="M67" s="88"/>
    </row>
    <row r="68" spans="1:13" ht="24" customHeight="1">
      <c r="A68" s="77"/>
      <c r="B68" s="87" t="s">
        <v>165</v>
      </c>
      <c r="C68" s="88">
        <f t="shared" si="28"/>
        <v>6521.451</v>
      </c>
      <c r="D68" s="88"/>
      <c r="E68" s="258">
        <v>6392.451</v>
      </c>
      <c r="F68" s="258"/>
      <c r="G68" s="258"/>
      <c r="H68" s="258">
        <v>129</v>
      </c>
      <c r="I68" s="88"/>
      <c r="J68" s="88"/>
      <c r="K68" s="88"/>
      <c r="L68" s="88"/>
      <c r="M68" s="88"/>
    </row>
    <row r="69" spans="1:13" ht="24" customHeight="1">
      <c r="A69" s="77"/>
      <c r="B69" s="87" t="s">
        <v>166</v>
      </c>
      <c r="C69" s="88">
        <f t="shared" si="28"/>
        <v>7172.2259999999997</v>
      </c>
      <c r="D69" s="88"/>
      <c r="E69" s="258">
        <v>7017.2259999999997</v>
      </c>
      <c r="F69" s="258"/>
      <c r="G69" s="258"/>
      <c r="H69" s="258">
        <v>155</v>
      </c>
      <c r="I69" s="88"/>
      <c r="J69" s="88"/>
      <c r="K69" s="88"/>
      <c r="L69" s="88"/>
      <c r="M69" s="88"/>
    </row>
    <row r="70" spans="1:13" s="18" customFormat="1" ht="43.5" customHeight="1">
      <c r="A70" s="259" t="s">
        <v>102</v>
      </c>
      <c r="B70" s="260" t="s">
        <v>103</v>
      </c>
      <c r="C70" s="261">
        <f>D70+E70+F70+G70+J70+M70</f>
        <v>0</v>
      </c>
      <c r="D70" s="261"/>
      <c r="E70" s="262"/>
      <c r="F70" s="262"/>
      <c r="G70" s="262"/>
      <c r="H70" s="262"/>
      <c r="I70" s="261"/>
      <c r="J70" s="261">
        <f>SUM(K70:L70)</f>
        <v>0</v>
      </c>
      <c r="K70" s="261"/>
      <c r="L70" s="261"/>
      <c r="M70" s="261"/>
    </row>
    <row r="71" spans="1:13">
      <c r="A71" s="66"/>
      <c r="B71" s="66"/>
      <c r="C71" s="263"/>
      <c r="D71" s="264"/>
      <c r="E71" s="66"/>
      <c r="F71" s="66"/>
      <c r="G71" s="66"/>
      <c r="H71" s="66"/>
      <c r="I71" s="66"/>
      <c r="J71" s="66"/>
      <c r="K71" s="66"/>
      <c r="L71" s="66"/>
      <c r="M71" s="66"/>
    </row>
    <row r="72" spans="1:13">
      <c r="A72" s="66"/>
      <c r="B72" s="66"/>
      <c r="C72" s="265"/>
      <c r="D72" s="264"/>
      <c r="E72" s="66"/>
      <c r="F72" s="66"/>
      <c r="G72" s="66"/>
      <c r="H72" s="66"/>
      <c r="I72" s="66"/>
      <c r="J72" s="66"/>
      <c r="K72" s="66"/>
      <c r="L72" s="66"/>
      <c r="M72" s="66"/>
    </row>
    <row r="73" spans="1:13">
      <c r="A73" s="66"/>
      <c r="B73" s="66"/>
      <c r="C73" s="70"/>
      <c r="D73" s="264"/>
      <c r="E73" s="66"/>
      <c r="F73" s="66"/>
      <c r="G73" s="66"/>
      <c r="H73" s="66"/>
      <c r="I73" s="66"/>
      <c r="J73" s="66"/>
      <c r="K73" s="66"/>
      <c r="L73" s="66"/>
      <c r="M73" s="66"/>
    </row>
    <row r="74" spans="1:13">
      <c r="A74" s="66"/>
      <c r="B74" s="66"/>
      <c r="C74" s="265"/>
      <c r="D74" s="264"/>
      <c r="E74" s="66"/>
      <c r="F74" s="66"/>
      <c r="G74" s="66"/>
      <c r="H74" s="66"/>
      <c r="I74" s="66"/>
      <c r="J74" s="66"/>
      <c r="K74" s="66"/>
      <c r="L74" s="66"/>
      <c r="M74" s="66"/>
    </row>
    <row r="75" spans="1:13">
      <c r="C75" s="15"/>
    </row>
  </sheetData>
  <mergeCells count="16">
    <mergeCell ref="A2:M2"/>
    <mergeCell ref="L1:M1"/>
    <mergeCell ref="A1:B1"/>
    <mergeCell ref="A5:A6"/>
    <mergeCell ref="B5:B6"/>
    <mergeCell ref="J5:L5"/>
    <mergeCell ref="M5:M6"/>
    <mergeCell ref="I5:I6"/>
    <mergeCell ref="C5:C6"/>
    <mergeCell ref="D5:D6"/>
    <mergeCell ref="E5:E6"/>
    <mergeCell ref="F5:F6"/>
    <mergeCell ref="G5:G6"/>
    <mergeCell ref="H5:H6"/>
    <mergeCell ref="K4:M4"/>
    <mergeCell ref="A3:M3"/>
  </mergeCells>
  <phoneticPr fontId="16" type="noConversion"/>
  <pageMargins left="0.41" right="0.36" top="0.4" bottom="0.2" header="0.31496062992125984" footer="0.2"/>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view="pageBreakPreview" zoomScale="80" zoomScaleNormal="100" zoomScaleSheetLayoutView="80" workbookViewId="0">
      <pane xSplit="4" ySplit="7" topLeftCell="E8" activePane="bottomRight" state="frozen"/>
      <selection activeCell="I4" sqref="A4:XFD4"/>
      <selection pane="topRight" activeCell="I4" sqref="A4:XFD4"/>
      <selection pane="bottomLeft" activeCell="I4" sqref="A4:XFD4"/>
      <selection pane="bottomRight" activeCell="I4" sqref="A4:XFD4"/>
    </sheetView>
  </sheetViews>
  <sheetFormatPr defaultRowHeight="15"/>
  <cols>
    <col min="1" max="1" width="6.42578125" style="201" customWidth="1"/>
    <col min="2" max="2" width="38.28515625" style="201" customWidth="1"/>
    <col min="3" max="3" width="13.28515625" style="201" customWidth="1"/>
    <col min="4" max="4" width="14.28515625" style="427" customWidth="1"/>
    <col min="5" max="5" width="15.5703125" style="201" customWidth="1"/>
    <col min="6" max="6" width="14.28515625" style="201" customWidth="1"/>
    <col min="7" max="8" width="14.28515625" style="201" hidden="1" customWidth="1"/>
    <col min="9" max="9" width="13.28515625" style="201" customWidth="1"/>
    <col min="10" max="10" width="13.5703125" style="201" customWidth="1"/>
    <col min="11" max="11" width="11" style="201" customWidth="1"/>
    <col min="12" max="12" width="12.5703125" style="201" customWidth="1"/>
    <col min="13" max="13" width="12.140625" style="201" customWidth="1"/>
    <col min="14" max="14" width="13.7109375" style="201" customWidth="1"/>
    <col min="15" max="15" width="16.85546875" style="219" hidden="1" customWidth="1"/>
    <col min="16" max="16384" width="9.140625" style="201"/>
  </cols>
  <sheetData>
    <row r="1" spans="1:15">
      <c r="A1" s="717" t="s">
        <v>168</v>
      </c>
      <c r="B1" s="717"/>
      <c r="C1" s="439"/>
      <c r="E1" s="441"/>
      <c r="F1" s="205"/>
      <c r="I1" s="441"/>
      <c r="K1" s="441"/>
      <c r="M1" s="722" t="s">
        <v>94</v>
      </c>
      <c r="N1" s="722"/>
    </row>
    <row r="2" spans="1:15">
      <c r="A2" s="717" t="s">
        <v>393</v>
      </c>
      <c r="B2" s="717"/>
      <c r="C2" s="717"/>
      <c r="D2" s="717"/>
      <c r="E2" s="717"/>
      <c r="F2" s="717"/>
      <c r="G2" s="717"/>
      <c r="H2" s="717"/>
      <c r="I2" s="717"/>
      <c r="J2" s="717"/>
      <c r="K2" s="717"/>
      <c r="L2" s="717"/>
      <c r="M2" s="717"/>
      <c r="N2" s="717"/>
    </row>
    <row r="3" spans="1:15">
      <c r="A3" s="442"/>
      <c r="B3" s="442"/>
      <c r="C3" s="443"/>
      <c r="E3" s="428"/>
      <c r="F3" s="219"/>
      <c r="G3" s="444"/>
      <c r="H3" s="428"/>
      <c r="I3" s="445"/>
      <c r="J3" s="428"/>
      <c r="K3" s="444"/>
      <c r="L3" s="783" t="s">
        <v>644</v>
      </c>
      <c r="M3" s="783"/>
      <c r="N3" s="783"/>
    </row>
    <row r="4" spans="1:15" ht="23.25" customHeight="1">
      <c r="A4" s="784" t="s">
        <v>10</v>
      </c>
      <c r="B4" s="784" t="s">
        <v>635</v>
      </c>
      <c r="C4" s="771" t="s">
        <v>680</v>
      </c>
      <c r="D4" s="785" t="s">
        <v>653</v>
      </c>
      <c r="E4" s="759" t="s">
        <v>636</v>
      </c>
      <c r="F4" s="759" t="s">
        <v>637</v>
      </c>
      <c r="G4" s="759" t="s">
        <v>245</v>
      </c>
      <c r="H4" s="759" t="s">
        <v>65</v>
      </c>
      <c r="I4" s="759" t="s">
        <v>95</v>
      </c>
      <c r="J4" s="759" t="s">
        <v>69</v>
      </c>
      <c r="K4" s="786" t="s">
        <v>96</v>
      </c>
      <c r="L4" s="787"/>
      <c r="M4" s="788"/>
      <c r="N4" s="759" t="s">
        <v>97</v>
      </c>
    </row>
    <row r="5" spans="1:15" ht="45" customHeight="1">
      <c r="A5" s="760"/>
      <c r="B5" s="760"/>
      <c r="C5" s="771"/>
      <c r="D5" s="785"/>
      <c r="E5" s="760"/>
      <c r="F5" s="760"/>
      <c r="G5" s="760"/>
      <c r="H5" s="760"/>
      <c r="I5" s="760"/>
      <c r="J5" s="760"/>
      <c r="K5" s="446" t="s">
        <v>41</v>
      </c>
      <c r="L5" s="446" t="s">
        <v>98</v>
      </c>
      <c r="M5" s="446" t="s">
        <v>85</v>
      </c>
      <c r="N5" s="760"/>
    </row>
    <row r="6" spans="1:15">
      <c r="A6" s="440" t="s">
        <v>14</v>
      </c>
      <c r="B6" s="447" t="s">
        <v>15</v>
      </c>
      <c r="C6" s="440">
        <v>1</v>
      </c>
      <c r="D6" s="440">
        <v>2</v>
      </c>
      <c r="E6" s="440">
        <v>3</v>
      </c>
      <c r="F6" s="440">
        <v>4</v>
      </c>
      <c r="G6" s="440">
        <v>4</v>
      </c>
      <c r="H6" s="440">
        <v>5</v>
      </c>
      <c r="I6" s="440">
        <v>5</v>
      </c>
      <c r="J6" s="440">
        <v>6</v>
      </c>
      <c r="K6" s="440">
        <v>7</v>
      </c>
      <c r="L6" s="440">
        <v>8</v>
      </c>
      <c r="M6" s="440">
        <v>9</v>
      </c>
      <c r="N6" s="440">
        <v>10</v>
      </c>
    </row>
    <row r="7" spans="1:15" s="210" customFormat="1" ht="24" customHeight="1">
      <c r="A7" s="448"/>
      <c r="B7" s="438" t="s">
        <v>53</v>
      </c>
      <c r="C7" s="584">
        <f t="shared" ref="C7:J7" si="0">C8+C53+C54+C55+C56+C68</f>
        <v>437617.75299999991</v>
      </c>
      <c r="D7" s="584">
        <f t="shared" si="0"/>
        <v>437617.75299999997</v>
      </c>
      <c r="E7" s="584">
        <f t="shared" si="0"/>
        <v>95851</v>
      </c>
      <c r="F7" s="584">
        <f t="shared" si="0"/>
        <v>324442.25300000003</v>
      </c>
      <c r="G7" s="584">
        <f t="shared" si="0"/>
        <v>0</v>
      </c>
      <c r="H7" s="584">
        <f t="shared" si="0"/>
        <v>0</v>
      </c>
      <c r="I7" s="584">
        <f t="shared" si="0"/>
        <v>7063</v>
      </c>
      <c r="J7" s="584">
        <f t="shared" si="0"/>
        <v>10261.5</v>
      </c>
      <c r="K7" s="584"/>
      <c r="L7" s="584"/>
      <c r="M7" s="584"/>
      <c r="N7" s="584"/>
      <c r="O7" s="449"/>
    </row>
    <row r="8" spans="1:15" s="210" customFormat="1" ht="24" customHeight="1">
      <c r="A8" s="450" t="s">
        <v>16</v>
      </c>
      <c r="B8" s="451" t="s">
        <v>99</v>
      </c>
      <c r="C8" s="585">
        <f t="shared" ref="C8:J8" si="1">C9+C32+C42</f>
        <v>367317.97399999993</v>
      </c>
      <c r="D8" s="585">
        <f t="shared" si="1"/>
        <v>362186.51399999997</v>
      </c>
      <c r="E8" s="585">
        <f t="shared" si="1"/>
        <v>95851</v>
      </c>
      <c r="F8" s="585">
        <f t="shared" si="1"/>
        <v>266335.51400000002</v>
      </c>
      <c r="G8" s="585">
        <f t="shared" si="1"/>
        <v>0</v>
      </c>
      <c r="H8" s="585">
        <f t="shared" si="1"/>
        <v>0</v>
      </c>
      <c r="I8" s="585">
        <f t="shared" si="1"/>
        <v>0</v>
      </c>
      <c r="J8" s="585">
        <f t="shared" si="1"/>
        <v>0</v>
      </c>
      <c r="K8" s="585"/>
      <c r="L8" s="585"/>
      <c r="M8" s="585"/>
      <c r="N8" s="585"/>
      <c r="O8" s="452">
        <f>D8-C8</f>
        <v>-5131.4599999999627</v>
      </c>
    </row>
    <row r="9" spans="1:15" s="210" customFormat="1" ht="24" customHeight="1">
      <c r="A9" s="211" t="s">
        <v>246</v>
      </c>
      <c r="B9" s="212" t="s">
        <v>247</v>
      </c>
      <c r="C9" s="560">
        <f t="shared" ref="C9:J9" si="2">C10+C24</f>
        <v>57055.78899999999</v>
      </c>
      <c r="D9" s="560">
        <f t="shared" si="2"/>
        <v>55536.408999999992</v>
      </c>
      <c r="E9" s="560">
        <f t="shared" si="2"/>
        <v>9298</v>
      </c>
      <c r="F9" s="560">
        <f t="shared" si="2"/>
        <v>46238.409</v>
      </c>
      <c r="G9" s="560">
        <f t="shared" si="2"/>
        <v>0</v>
      </c>
      <c r="H9" s="560">
        <f t="shared" si="2"/>
        <v>0</v>
      </c>
      <c r="I9" s="560">
        <f t="shared" si="2"/>
        <v>0</v>
      </c>
      <c r="J9" s="560">
        <f t="shared" si="2"/>
        <v>0</v>
      </c>
      <c r="K9" s="560"/>
      <c r="L9" s="560"/>
      <c r="M9" s="560"/>
      <c r="N9" s="560"/>
      <c r="O9" s="453"/>
    </row>
    <row r="10" spans="1:15" s="210" customFormat="1" ht="24" customHeight="1">
      <c r="A10" s="211" t="s">
        <v>149</v>
      </c>
      <c r="B10" s="212" t="s">
        <v>248</v>
      </c>
      <c r="C10" s="560">
        <f t="shared" ref="C10:J10" si="3">SUM(C11:C23)</f>
        <v>39376.128999999986</v>
      </c>
      <c r="D10" s="560">
        <f t="shared" si="3"/>
        <v>38085.678999999989</v>
      </c>
      <c r="E10" s="560">
        <f t="shared" si="3"/>
        <v>3098</v>
      </c>
      <c r="F10" s="560">
        <f>SUM(F11:F23)</f>
        <v>34987.678999999996</v>
      </c>
      <c r="G10" s="560">
        <f t="shared" si="3"/>
        <v>0</v>
      </c>
      <c r="H10" s="560">
        <f t="shared" si="3"/>
        <v>0</v>
      </c>
      <c r="I10" s="560">
        <f t="shared" si="3"/>
        <v>0</v>
      </c>
      <c r="J10" s="560">
        <f t="shared" si="3"/>
        <v>0</v>
      </c>
      <c r="K10" s="560"/>
      <c r="L10" s="560"/>
      <c r="M10" s="560"/>
      <c r="N10" s="560"/>
      <c r="O10" s="454"/>
    </row>
    <row r="11" spans="1:15" ht="24" customHeight="1">
      <c r="A11" s="213">
        <v>1</v>
      </c>
      <c r="B11" s="215" t="s">
        <v>249</v>
      </c>
      <c r="C11" s="586">
        <v>6331.6819999999998</v>
      </c>
      <c r="D11" s="563">
        <f>E11+F11+G11+H11+I11+J11+K11+N11</f>
        <v>5848.1219999999994</v>
      </c>
      <c r="E11" s="563"/>
      <c r="F11" s="563">
        <f>C11+30-166.56-368.2+15+6.2</f>
        <v>5848.1219999999994</v>
      </c>
      <c r="G11" s="563"/>
      <c r="H11" s="563"/>
      <c r="I11" s="563"/>
      <c r="J11" s="563"/>
      <c r="K11" s="563"/>
      <c r="L11" s="563"/>
      <c r="M11" s="563"/>
      <c r="N11" s="563"/>
    </row>
    <row r="12" spans="1:15" ht="24" customHeight="1">
      <c r="A12" s="213">
        <v>2</v>
      </c>
      <c r="B12" s="215" t="s">
        <v>250</v>
      </c>
      <c r="C12" s="586">
        <v>962.80700000000002</v>
      </c>
      <c r="D12" s="563">
        <f>E12+F12+G12+H12+I12+J12+K12+N12</f>
        <v>944.40700000000004</v>
      </c>
      <c r="E12" s="563"/>
      <c r="F12" s="563">
        <f>C12-18.4</f>
        <v>944.40700000000004</v>
      </c>
      <c r="G12" s="563"/>
      <c r="H12" s="563"/>
      <c r="I12" s="563"/>
      <c r="J12" s="563"/>
      <c r="K12" s="563"/>
      <c r="L12" s="563"/>
      <c r="M12" s="563"/>
      <c r="N12" s="563"/>
    </row>
    <row r="13" spans="1:15" ht="24" customHeight="1">
      <c r="A13" s="213">
        <v>3</v>
      </c>
      <c r="B13" s="215" t="s">
        <v>251</v>
      </c>
      <c r="C13" s="586">
        <v>912.13</v>
      </c>
      <c r="D13" s="563">
        <f t="shared" ref="D13:D23" si="4">E13+F13+G13+H13+I13+J13+K13+N13</f>
        <v>883.13</v>
      </c>
      <c r="E13" s="563"/>
      <c r="F13" s="563">
        <f>912.13-29</f>
        <v>883.13</v>
      </c>
      <c r="G13" s="563"/>
      <c r="H13" s="563"/>
      <c r="I13" s="563"/>
      <c r="J13" s="563"/>
      <c r="K13" s="563"/>
      <c r="L13" s="563"/>
      <c r="M13" s="563"/>
      <c r="N13" s="563"/>
    </row>
    <row r="14" spans="1:15" ht="24" customHeight="1">
      <c r="A14" s="213">
        <v>4</v>
      </c>
      <c r="B14" s="215" t="s">
        <v>252</v>
      </c>
      <c r="C14" s="586">
        <v>2142.4580000000001</v>
      </c>
      <c r="D14" s="563">
        <f t="shared" si="4"/>
        <v>2085.2580000000003</v>
      </c>
      <c r="E14" s="563"/>
      <c r="F14" s="563">
        <f>150+150+1260+582.458-57.2</f>
        <v>2085.2580000000003</v>
      </c>
      <c r="G14" s="563"/>
      <c r="H14" s="563"/>
      <c r="I14" s="563"/>
      <c r="J14" s="563"/>
      <c r="K14" s="563"/>
      <c r="L14" s="563"/>
      <c r="M14" s="563"/>
      <c r="N14" s="563"/>
    </row>
    <row r="15" spans="1:15" ht="24" customHeight="1">
      <c r="A15" s="213">
        <v>5</v>
      </c>
      <c r="B15" s="215" t="s">
        <v>253</v>
      </c>
      <c r="C15" s="586">
        <v>1203.2909999999999</v>
      </c>
      <c r="D15" s="563">
        <f t="shared" si="4"/>
        <v>1162.5909999999999</v>
      </c>
      <c r="E15" s="563"/>
      <c r="F15" s="563">
        <f>1203.291-40.7</f>
        <v>1162.5909999999999</v>
      </c>
      <c r="G15" s="563"/>
      <c r="H15" s="563"/>
      <c r="I15" s="563"/>
      <c r="J15" s="563"/>
      <c r="K15" s="563"/>
      <c r="L15" s="563"/>
      <c r="M15" s="563"/>
      <c r="N15" s="563"/>
    </row>
    <row r="16" spans="1:15" ht="24" customHeight="1">
      <c r="A16" s="213">
        <v>6</v>
      </c>
      <c r="B16" s="215" t="s">
        <v>254</v>
      </c>
      <c r="C16" s="586">
        <v>933.72</v>
      </c>
      <c r="D16" s="563">
        <f t="shared" si="4"/>
        <v>908.52</v>
      </c>
      <c r="E16" s="563"/>
      <c r="F16" s="563">
        <f>933.72-25.2</f>
        <v>908.52</v>
      </c>
      <c r="G16" s="563"/>
      <c r="H16" s="563"/>
      <c r="I16" s="563"/>
      <c r="J16" s="563"/>
      <c r="K16" s="563"/>
      <c r="L16" s="563"/>
      <c r="M16" s="563"/>
      <c r="N16" s="563"/>
    </row>
    <row r="17" spans="1:15" ht="24" customHeight="1">
      <c r="A17" s="213">
        <v>7</v>
      </c>
      <c r="B17" s="215" t="s">
        <v>255</v>
      </c>
      <c r="C17" s="586">
        <v>439.96800000000002</v>
      </c>
      <c r="D17" s="563">
        <f t="shared" si="4"/>
        <v>422.96800000000002</v>
      </c>
      <c r="E17" s="563"/>
      <c r="F17" s="563">
        <f>439.968-17</f>
        <v>422.96800000000002</v>
      </c>
      <c r="G17" s="563"/>
      <c r="H17" s="563"/>
      <c r="I17" s="563"/>
      <c r="J17" s="563"/>
      <c r="K17" s="563"/>
      <c r="L17" s="563"/>
      <c r="M17" s="563"/>
      <c r="N17" s="563"/>
    </row>
    <row r="18" spans="1:15" ht="24" customHeight="1">
      <c r="A18" s="213">
        <v>8</v>
      </c>
      <c r="B18" s="215" t="s">
        <v>256</v>
      </c>
      <c r="C18" s="586">
        <v>18066.699999999997</v>
      </c>
      <c r="D18" s="563">
        <f t="shared" si="4"/>
        <v>17899.479999999996</v>
      </c>
      <c r="E18" s="563"/>
      <c r="F18" s="563">
        <f>C18+13.78+360-401-140</f>
        <v>17899.479999999996</v>
      </c>
      <c r="G18" s="563"/>
      <c r="H18" s="563"/>
      <c r="I18" s="563"/>
      <c r="J18" s="563"/>
      <c r="K18" s="563"/>
      <c r="L18" s="563"/>
      <c r="M18" s="563"/>
      <c r="N18" s="563"/>
    </row>
    <row r="19" spans="1:15" ht="24" customHeight="1">
      <c r="A19" s="213">
        <v>9</v>
      </c>
      <c r="B19" s="215" t="s">
        <v>257</v>
      </c>
      <c r="C19" s="586">
        <v>698.33999999999992</v>
      </c>
      <c r="D19" s="563">
        <f t="shared" si="4"/>
        <v>677.33999999999992</v>
      </c>
      <c r="E19" s="563"/>
      <c r="F19" s="563">
        <f>150+40+508.34-21</f>
        <v>677.33999999999992</v>
      </c>
      <c r="G19" s="563"/>
      <c r="H19" s="563"/>
      <c r="I19" s="563"/>
      <c r="J19" s="563"/>
      <c r="K19" s="563"/>
      <c r="L19" s="563"/>
      <c r="M19" s="563"/>
      <c r="N19" s="563"/>
    </row>
    <row r="20" spans="1:15" ht="24" customHeight="1">
      <c r="A20" s="213">
        <v>10</v>
      </c>
      <c r="B20" s="215" t="s">
        <v>258</v>
      </c>
      <c r="C20" s="586">
        <v>4099.7280000000001</v>
      </c>
      <c r="D20" s="563">
        <f t="shared" si="4"/>
        <v>3854.9279999999999</v>
      </c>
      <c r="E20" s="563">
        <f>3098</f>
        <v>3098</v>
      </c>
      <c r="F20" s="563">
        <f>C20-225.8-E20-19</f>
        <v>756.92799999999988</v>
      </c>
      <c r="G20" s="563"/>
      <c r="H20" s="563"/>
      <c r="I20" s="563"/>
      <c r="J20" s="563"/>
      <c r="K20" s="563"/>
      <c r="L20" s="563"/>
      <c r="M20" s="563"/>
      <c r="N20" s="563"/>
    </row>
    <row r="21" spans="1:15" ht="24" customHeight="1">
      <c r="A21" s="213">
        <v>11</v>
      </c>
      <c r="B21" s="215" t="s">
        <v>259</v>
      </c>
      <c r="C21" s="586">
        <v>2025.84</v>
      </c>
      <c r="D21" s="563">
        <f t="shared" si="4"/>
        <v>1904.24</v>
      </c>
      <c r="E21" s="563"/>
      <c r="F21" s="563">
        <f>C21-121.6</f>
        <v>1904.24</v>
      </c>
      <c r="G21" s="563"/>
      <c r="H21" s="563"/>
      <c r="I21" s="563"/>
      <c r="J21" s="563"/>
      <c r="K21" s="563"/>
      <c r="L21" s="563"/>
      <c r="M21" s="563"/>
      <c r="N21" s="563"/>
    </row>
    <row r="22" spans="1:15" ht="24" customHeight="1">
      <c r="A22" s="213">
        <v>12</v>
      </c>
      <c r="B22" s="215" t="s">
        <v>260</v>
      </c>
      <c r="C22" s="586">
        <f>909.27+0.004</f>
        <v>909.274</v>
      </c>
      <c r="D22" s="563">
        <f>E22+F22+G22+H22+I22+J22+K22+N22</f>
        <v>854.80399999999997</v>
      </c>
      <c r="E22" s="563"/>
      <c r="F22" s="563">
        <f>C22-42.97-21+9.5</f>
        <v>854.80399999999997</v>
      </c>
      <c r="G22" s="563"/>
      <c r="H22" s="563"/>
      <c r="I22" s="563"/>
      <c r="J22" s="563"/>
      <c r="K22" s="563"/>
      <c r="L22" s="563"/>
      <c r="M22" s="563"/>
      <c r="N22" s="563"/>
    </row>
    <row r="23" spans="1:15" ht="24" customHeight="1">
      <c r="A23" s="213">
        <v>13</v>
      </c>
      <c r="B23" s="215" t="s">
        <v>261</v>
      </c>
      <c r="C23" s="586">
        <v>650.19100000000003</v>
      </c>
      <c r="D23" s="563">
        <f t="shared" si="4"/>
        <v>639.89100000000008</v>
      </c>
      <c r="E23" s="563"/>
      <c r="F23" s="563">
        <f>107+543.191-10.3</f>
        <v>639.89100000000008</v>
      </c>
      <c r="G23" s="563"/>
      <c r="H23" s="563"/>
      <c r="I23" s="563"/>
      <c r="J23" s="563"/>
      <c r="K23" s="563"/>
      <c r="L23" s="563"/>
      <c r="M23" s="563"/>
      <c r="N23" s="563"/>
    </row>
    <row r="24" spans="1:15" s="210" customFormat="1" ht="24" customHeight="1">
      <c r="A24" s="211" t="s">
        <v>150</v>
      </c>
      <c r="B24" s="212" t="s">
        <v>262</v>
      </c>
      <c r="C24" s="587">
        <v>17679.660000000003</v>
      </c>
      <c r="D24" s="560">
        <f t="shared" ref="D24:J24" si="5">SUM(D25:D31)</f>
        <v>17450.730000000003</v>
      </c>
      <c r="E24" s="560">
        <f t="shared" si="5"/>
        <v>6200</v>
      </c>
      <c r="F24" s="560">
        <f>SUM(F25:F31)</f>
        <v>11250.73</v>
      </c>
      <c r="G24" s="560">
        <f t="shared" si="5"/>
        <v>0</v>
      </c>
      <c r="H24" s="560">
        <f t="shared" si="5"/>
        <v>0</v>
      </c>
      <c r="I24" s="560">
        <f t="shared" si="5"/>
        <v>0</v>
      </c>
      <c r="J24" s="560">
        <f t="shared" si="5"/>
        <v>0</v>
      </c>
      <c r="K24" s="560"/>
      <c r="L24" s="560"/>
      <c r="M24" s="560"/>
      <c r="N24" s="560"/>
      <c r="O24" s="454"/>
    </row>
    <row r="25" spans="1:15" ht="24" customHeight="1">
      <c r="A25" s="213">
        <v>1</v>
      </c>
      <c r="B25" s="215" t="s">
        <v>263</v>
      </c>
      <c r="C25" s="586">
        <v>14720.552</v>
      </c>
      <c r="D25" s="563">
        <f t="shared" ref="D25:D31" si="6">E25+F25+G25+H25+I25+J25+K25+N25</f>
        <v>14503.552</v>
      </c>
      <c r="E25" s="563">
        <v>6200</v>
      </c>
      <c r="F25" s="563">
        <f>C25+106-E25-323</f>
        <v>8303.5519999999997</v>
      </c>
      <c r="G25" s="563"/>
      <c r="H25" s="563"/>
      <c r="I25" s="563"/>
      <c r="J25" s="563"/>
      <c r="K25" s="563"/>
      <c r="L25" s="563"/>
      <c r="M25" s="563"/>
      <c r="N25" s="563"/>
    </row>
    <row r="26" spans="1:15" ht="24" customHeight="1">
      <c r="A26" s="213">
        <v>2</v>
      </c>
      <c r="B26" s="215" t="s">
        <v>264</v>
      </c>
      <c r="C26" s="586">
        <v>644.47400000000005</v>
      </c>
      <c r="D26" s="563">
        <f t="shared" si="6"/>
        <v>677.904</v>
      </c>
      <c r="E26" s="563"/>
      <c r="F26" s="563">
        <f>C26+61.13-21.5-6.2</f>
        <v>677.904</v>
      </c>
      <c r="G26" s="563"/>
      <c r="H26" s="563"/>
      <c r="I26" s="563"/>
      <c r="J26" s="563"/>
      <c r="K26" s="563"/>
      <c r="L26" s="563"/>
      <c r="M26" s="563"/>
      <c r="N26" s="563"/>
    </row>
    <row r="27" spans="1:15" ht="24" customHeight="1">
      <c r="A27" s="213">
        <v>3</v>
      </c>
      <c r="B27" s="215" t="s">
        <v>265</v>
      </c>
      <c r="C27" s="586">
        <v>699.55899999999997</v>
      </c>
      <c r="D27" s="563">
        <f t="shared" si="6"/>
        <v>651.43899999999996</v>
      </c>
      <c r="E27" s="563"/>
      <c r="F27" s="563">
        <f>C27-31.8+30.68-32-15</f>
        <v>651.43899999999996</v>
      </c>
      <c r="G27" s="563"/>
      <c r="H27" s="563"/>
      <c r="I27" s="563"/>
      <c r="J27" s="563"/>
      <c r="K27" s="563"/>
      <c r="L27" s="563"/>
      <c r="M27" s="563"/>
      <c r="N27" s="563"/>
    </row>
    <row r="28" spans="1:15" ht="24" customHeight="1">
      <c r="A28" s="213">
        <v>4</v>
      </c>
      <c r="B28" s="215" t="s">
        <v>266</v>
      </c>
      <c r="C28" s="586">
        <v>592.98800000000006</v>
      </c>
      <c r="D28" s="563">
        <f t="shared" si="6"/>
        <v>599.03800000000001</v>
      </c>
      <c r="E28" s="563"/>
      <c r="F28" s="563">
        <f>C28+27.05-21</f>
        <v>599.03800000000001</v>
      </c>
      <c r="G28" s="563"/>
      <c r="H28" s="563"/>
      <c r="I28" s="563"/>
      <c r="J28" s="563"/>
      <c r="K28" s="563"/>
      <c r="L28" s="563"/>
      <c r="M28" s="563"/>
      <c r="N28" s="563"/>
    </row>
    <row r="29" spans="1:15" ht="24" customHeight="1">
      <c r="A29" s="213">
        <v>5</v>
      </c>
      <c r="B29" s="215" t="s">
        <v>267</v>
      </c>
      <c r="C29" s="586">
        <v>465.2</v>
      </c>
      <c r="D29" s="563">
        <f t="shared" si="6"/>
        <v>483.71</v>
      </c>
      <c r="E29" s="563"/>
      <c r="F29" s="563">
        <f>C29+39.76-13.25-8</f>
        <v>483.71</v>
      </c>
      <c r="G29" s="563"/>
      <c r="H29" s="563"/>
      <c r="I29" s="563"/>
      <c r="J29" s="563"/>
      <c r="K29" s="563"/>
      <c r="L29" s="563"/>
      <c r="M29" s="563"/>
      <c r="N29" s="563"/>
    </row>
    <row r="30" spans="1:15" ht="24" customHeight="1">
      <c r="A30" s="213">
        <v>6</v>
      </c>
      <c r="B30" s="215" t="s">
        <v>268</v>
      </c>
      <c r="C30" s="586">
        <v>436.18700000000001</v>
      </c>
      <c r="D30" s="563">
        <f t="shared" si="6"/>
        <v>419.68700000000001</v>
      </c>
      <c r="E30" s="563"/>
      <c r="F30" s="563">
        <f>436.187-16.5</f>
        <v>419.68700000000001</v>
      </c>
      <c r="G30" s="563"/>
      <c r="H30" s="563"/>
      <c r="I30" s="563"/>
      <c r="J30" s="563"/>
      <c r="K30" s="563"/>
      <c r="L30" s="563"/>
      <c r="M30" s="563"/>
      <c r="N30" s="563"/>
    </row>
    <row r="31" spans="1:15" ht="24" customHeight="1">
      <c r="A31" s="213">
        <v>7</v>
      </c>
      <c r="B31" s="215" t="s">
        <v>269</v>
      </c>
      <c r="C31" s="586">
        <v>120.7</v>
      </c>
      <c r="D31" s="563">
        <f t="shared" si="6"/>
        <v>115.4</v>
      </c>
      <c r="E31" s="563"/>
      <c r="F31" s="563">
        <f>120.7-5.3</f>
        <v>115.4</v>
      </c>
      <c r="G31" s="563"/>
      <c r="H31" s="563"/>
      <c r="I31" s="563"/>
      <c r="J31" s="563"/>
      <c r="K31" s="563"/>
      <c r="L31" s="563"/>
      <c r="M31" s="563"/>
      <c r="N31" s="563"/>
    </row>
    <row r="32" spans="1:15" s="210" customFormat="1" ht="24" customHeight="1">
      <c r="A32" s="211" t="s">
        <v>271</v>
      </c>
      <c r="B32" s="212" t="s">
        <v>272</v>
      </c>
      <c r="C32" s="560">
        <f t="shared" ref="C32:J32" si="7">SUM(C33:C41)</f>
        <v>304609.41199999995</v>
      </c>
      <c r="D32" s="560">
        <f t="shared" si="7"/>
        <v>300991.212</v>
      </c>
      <c r="E32" s="560">
        <f t="shared" si="7"/>
        <v>86553</v>
      </c>
      <c r="F32" s="560">
        <f t="shared" si="7"/>
        <v>214438.21200000003</v>
      </c>
      <c r="G32" s="560">
        <f t="shared" si="7"/>
        <v>0</v>
      </c>
      <c r="H32" s="560">
        <f t="shared" si="7"/>
        <v>0</v>
      </c>
      <c r="I32" s="560">
        <f t="shared" si="7"/>
        <v>0</v>
      </c>
      <c r="J32" s="560">
        <f t="shared" si="7"/>
        <v>0</v>
      </c>
      <c r="K32" s="560"/>
      <c r="L32" s="560"/>
      <c r="M32" s="560"/>
      <c r="N32" s="560"/>
      <c r="O32" s="454"/>
    </row>
    <row r="33" spans="1:15" ht="24" customHeight="1">
      <c r="A33" s="213">
        <v>1</v>
      </c>
      <c r="B33" s="215" t="s">
        <v>412</v>
      </c>
      <c r="C33" s="586">
        <v>194224.48</v>
      </c>
      <c r="D33" s="563">
        <f t="shared" ref="D33:D41" si="8">E33+F33+G33+H33+I33+J33+K33+N33</f>
        <v>191843.98</v>
      </c>
      <c r="E33" s="563"/>
      <c r="F33" s="563">
        <f>194315.48-91-2380.5</f>
        <v>191843.98</v>
      </c>
      <c r="G33" s="563"/>
      <c r="H33" s="563"/>
      <c r="I33" s="563"/>
      <c r="J33" s="563"/>
      <c r="K33" s="563"/>
      <c r="L33" s="563"/>
      <c r="M33" s="563"/>
      <c r="N33" s="563"/>
    </row>
    <row r="34" spans="1:15" ht="24" customHeight="1">
      <c r="A34" s="213">
        <v>2</v>
      </c>
      <c r="B34" s="215" t="s">
        <v>270</v>
      </c>
      <c r="C34" s="586">
        <v>802.71</v>
      </c>
      <c r="D34" s="563">
        <f t="shared" si="8"/>
        <v>789.31000000000006</v>
      </c>
      <c r="E34" s="563"/>
      <c r="F34" s="563">
        <f>802.71-13.4</f>
        <v>789.31000000000006</v>
      </c>
      <c r="G34" s="563"/>
      <c r="H34" s="563"/>
      <c r="I34" s="563"/>
      <c r="J34" s="563"/>
      <c r="K34" s="563"/>
      <c r="L34" s="563"/>
      <c r="M34" s="563"/>
      <c r="N34" s="563"/>
    </row>
    <row r="35" spans="1:15" ht="24" customHeight="1">
      <c r="A35" s="213">
        <v>3</v>
      </c>
      <c r="B35" s="215" t="s">
        <v>274</v>
      </c>
      <c r="C35" s="586">
        <v>1351.81</v>
      </c>
      <c r="D35" s="563">
        <f t="shared" si="8"/>
        <v>1337.4099999999999</v>
      </c>
      <c r="E35" s="563"/>
      <c r="F35" s="563">
        <f>C35-14.4</f>
        <v>1337.4099999999999</v>
      </c>
      <c r="G35" s="563"/>
      <c r="H35" s="563"/>
      <c r="I35" s="563"/>
      <c r="J35" s="563"/>
      <c r="K35" s="563"/>
      <c r="L35" s="563"/>
      <c r="M35" s="563"/>
      <c r="N35" s="563"/>
    </row>
    <row r="36" spans="1:15" ht="35.25" customHeight="1">
      <c r="A36" s="213">
        <v>4</v>
      </c>
      <c r="B36" s="215" t="s">
        <v>381</v>
      </c>
      <c r="C36" s="586">
        <v>2613</v>
      </c>
      <c r="D36" s="563">
        <f t="shared" si="8"/>
        <v>2511.2000000000003</v>
      </c>
      <c r="E36" s="563"/>
      <c r="F36" s="563">
        <f>C36+129.31-137.41-84.2-9.5</f>
        <v>2511.2000000000003</v>
      </c>
      <c r="G36" s="563"/>
      <c r="H36" s="563"/>
      <c r="I36" s="563"/>
      <c r="J36" s="563"/>
      <c r="K36" s="563"/>
      <c r="L36" s="563"/>
      <c r="M36" s="563"/>
      <c r="N36" s="563"/>
    </row>
    <row r="37" spans="1:15" ht="24" customHeight="1">
      <c r="A37" s="213">
        <v>5</v>
      </c>
      <c r="B37" s="215" t="s">
        <v>331</v>
      </c>
      <c r="C37" s="586">
        <v>2213.6219999999998</v>
      </c>
      <c r="D37" s="563">
        <f t="shared" si="8"/>
        <v>2925.3219999999997</v>
      </c>
      <c r="E37" s="563"/>
      <c r="F37" s="563">
        <f>C37+600-10-105.8+227.5</f>
        <v>2925.3219999999997</v>
      </c>
      <c r="G37" s="563"/>
      <c r="H37" s="563"/>
      <c r="I37" s="563"/>
      <c r="J37" s="563"/>
      <c r="K37" s="563"/>
      <c r="L37" s="563"/>
      <c r="M37" s="563"/>
      <c r="N37" s="563"/>
    </row>
    <row r="38" spans="1:15" ht="24" customHeight="1">
      <c r="A38" s="213">
        <v>6</v>
      </c>
      <c r="B38" s="215" t="s">
        <v>330</v>
      </c>
      <c r="C38" s="586">
        <v>6949</v>
      </c>
      <c r="D38" s="563">
        <f t="shared" si="8"/>
        <v>6606.2</v>
      </c>
      <c r="E38" s="563"/>
      <c r="F38" s="563">
        <f>5379+570+700+300-342.8</f>
        <v>6606.2</v>
      </c>
      <c r="G38" s="563"/>
      <c r="H38" s="563"/>
      <c r="I38" s="563"/>
      <c r="J38" s="563"/>
      <c r="K38" s="563"/>
      <c r="L38" s="563"/>
      <c r="M38" s="563"/>
      <c r="N38" s="563"/>
    </row>
    <row r="39" spans="1:15" ht="24" customHeight="1">
      <c r="A39" s="213">
        <v>7</v>
      </c>
      <c r="B39" s="215" t="s">
        <v>275</v>
      </c>
      <c r="C39" s="586">
        <f>85957+5700</f>
        <v>91657</v>
      </c>
      <c r="D39" s="563">
        <f t="shared" si="8"/>
        <v>91247.5</v>
      </c>
      <c r="E39" s="563">
        <f>74693+3739+5700</f>
        <v>84132</v>
      </c>
      <c r="F39" s="563">
        <f>7525-409.5</f>
        <v>7115.5</v>
      </c>
      <c r="G39" s="563"/>
      <c r="H39" s="563"/>
      <c r="I39" s="563"/>
      <c r="J39" s="563"/>
      <c r="K39" s="563"/>
      <c r="L39" s="563"/>
      <c r="M39" s="563"/>
      <c r="N39" s="563"/>
    </row>
    <row r="40" spans="1:15" ht="27" customHeight="1">
      <c r="A40" s="213">
        <v>8</v>
      </c>
      <c r="B40" s="222" t="s">
        <v>405</v>
      </c>
      <c r="C40" s="586">
        <v>2421</v>
      </c>
      <c r="D40" s="563">
        <f t="shared" si="8"/>
        <v>2421</v>
      </c>
      <c r="E40" s="563">
        <v>2421</v>
      </c>
      <c r="F40" s="563">
        <v>0</v>
      </c>
      <c r="G40" s="563"/>
      <c r="H40" s="563"/>
      <c r="I40" s="563"/>
      <c r="J40" s="563"/>
      <c r="K40" s="563"/>
      <c r="L40" s="563"/>
      <c r="M40" s="563"/>
      <c r="N40" s="563"/>
    </row>
    <row r="41" spans="1:15" ht="57" customHeight="1">
      <c r="A41" s="213">
        <v>9</v>
      </c>
      <c r="B41" s="583" t="s">
        <v>652</v>
      </c>
      <c r="C41" s="563">
        <v>2376.79</v>
      </c>
      <c r="D41" s="563">
        <f t="shared" si="8"/>
        <v>1309.29</v>
      </c>
      <c r="E41" s="563"/>
      <c r="F41" s="563">
        <f>2376.79-600-240-227.5</f>
        <v>1309.29</v>
      </c>
      <c r="G41" s="563"/>
      <c r="H41" s="563"/>
      <c r="I41" s="563"/>
      <c r="J41" s="563"/>
      <c r="K41" s="563"/>
      <c r="L41" s="563"/>
      <c r="M41" s="563"/>
      <c r="N41" s="563"/>
    </row>
    <row r="42" spans="1:15" s="210" customFormat="1" ht="24" customHeight="1">
      <c r="A42" s="211" t="s">
        <v>279</v>
      </c>
      <c r="B42" s="212" t="s">
        <v>280</v>
      </c>
      <c r="C42" s="587">
        <v>5652.7730000000001</v>
      </c>
      <c r="D42" s="560">
        <f>SUM(D43:D52)</f>
        <v>5658.893</v>
      </c>
      <c r="E42" s="560">
        <f t="shared" ref="E42:J42" si="9">SUM(E43:E52)</f>
        <v>0</v>
      </c>
      <c r="F42" s="560">
        <f t="shared" si="9"/>
        <v>5658.893</v>
      </c>
      <c r="G42" s="560">
        <f t="shared" si="9"/>
        <v>0</v>
      </c>
      <c r="H42" s="560">
        <f t="shared" si="9"/>
        <v>0</v>
      </c>
      <c r="I42" s="560">
        <f t="shared" si="9"/>
        <v>0</v>
      </c>
      <c r="J42" s="560">
        <f t="shared" si="9"/>
        <v>0</v>
      </c>
      <c r="K42" s="560"/>
      <c r="L42" s="560"/>
      <c r="M42" s="560"/>
      <c r="N42" s="560"/>
      <c r="O42" s="454"/>
    </row>
    <row r="43" spans="1:15" ht="24" customHeight="1">
      <c r="A43" s="213">
        <v>1</v>
      </c>
      <c r="B43" s="215" t="s">
        <v>281</v>
      </c>
      <c r="C43" s="586">
        <v>1240</v>
      </c>
      <c r="D43" s="563">
        <f t="shared" ref="D43:D55" si="10">E43+F43+G43+H43+I43+J43+K43+N43</f>
        <v>1240</v>
      </c>
      <c r="E43" s="563"/>
      <c r="F43" s="563">
        <v>1240</v>
      </c>
      <c r="G43" s="563"/>
      <c r="H43" s="563"/>
      <c r="I43" s="563"/>
      <c r="J43" s="563"/>
      <c r="K43" s="563"/>
      <c r="L43" s="563"/>
      <c r="M43" s="563"/>
      <c r="N43" s="563"/>
    </row>
    <row r="44" spans="1:15" ht="24" customHeight="1">
      <c r="A44" s="213">
        <v>2</v>
      </c>
      <c r="B44" s="215" t="s">
        <v>282</v>
      </c>
      <c r="C44" s="586">
        <v>2266.7730000000001</v>
      </c>
      <c r="D44" s="563">
        <f t="shared" si="10"/>
        <v>2272.893</v>
      </c>
      <c r="E44" s="563"/>
      <c r="F44" s="563">
        <f>C44+6.12</f>
        <v>2272.893</v>
      </c>
      <c r="G44" s="563"/>
      <c r="H44" s="563"/>
      <c r="I44" s="563"/>
      <c r="J44" s="563"/>
      <c r="K44" s="563"/>
      <c r="L44" s="563"/>
      <c r="M44" s="563"/>
      <c r="N44" s="563"/>
    </row>
    <row r="45" spans="1:15" ht="24" customHeight="1">
      <c r="A45" s="213">
        <v>3</v>
      </c>
      <c r="B45" s="215" t="s">
        <v>283</v>
      </c>
      <c r="C45" s="586">
        <v>50</v>
      </c>
      <c r="D45" s="563">
        <f t="shared" si="10"/>
        <v>50</v>
      </c>
      <c r="E45" s="563"/>
      <c r="F45" s="563">
        <v>50</v>
      </c>
      <c r="G45" s="563"/>
      <c r="H45" s="563"/>
      <c r="I45" s="563"/>
      <c r="J45" s="563"/>
      <c r="K45" s="563"/>
      <c r="L45" s="563"/>
      <c r="M45" s="563"/>
      <c r="N45" s="563"/>
    </row>
    <row r="46" spans="1:15" ht="24" customHeight="1">
      <c r="A46" s="213">
        <v>4</v>
      </c>
      <c r="B46" s="215" t="s">
        <v>284</v>
      </c>
      <c r="C46" s="586">
        <v>30</v>
      </c>
      <c r="D46" s="563">
        <f t="shared" si="10"/>
        <v>30</v>
      </c>
      <c r="E46" s="563"/>
      <c r="F46" s="563">
        <v>30</v>
      </c>
      <c r="G46" s="563"/>
      <c r="H46" s="563"/>
      <c r="I46" s="563"/>
      <c r="J46" s="563"/>
      <c r="K46" s="563"/>
      <c r="L46" s="563"/>
      <c r="M46" s="563"/>
      <c r="N46" s="563"/>
    </row>
    <row r="47" spans="1:15" ht="24" customHeight="1">
      <c r="A47" s="213">
        <v>5</v>
      </c>
      <c r="B47" s="215" t="s">
        <v>285</v>
      </c>
      <c r="C47" s="586">
        <v>50</v>
      </c>
      <c r="D47" s="563">
        <f t="shared" si="10"/>
        <v>50</v>
      </c>
      <c r="E47" s="563"/>
      <c r="F47" s="563">
        <v>50</v>
      </c>
      <c r="G47" s="563"/>
      <c r="H47" s="563"/>
      <c r="I47" s="563"/>
      <c r="J47" s="563"/>
      <c r="K47" s="563"/>
      <c r="L47" s="563"/>
      <c r="M47" s="563"/>
      <c r="N47" s="563"/>
    </row>
    <row r="48" spans="1:15" ht="24" customHeight="1">
      <c r="A48" s="213">
        <v>6</v>
      </c>
      <c r="B48" s="215" t="s">
        <v>290</v>
      </c>
      <c r="C48" s="586">
        <v>370</v>
      </c>
      <c r="D48" s="563">
        <f t="shared" si="10"/>
        <v>370</v>
      </c>
      <c r="E48" s="563"/>
      <c r="F48" s="563">
        <v>370</v>
      </c>
      <c r="G48" s="563"/>
      <c r="H48" s="563"/>
      <c r="I48" s="563"/>
      <c r="J48" s="563"/>
      <c r="K48" s="563"/>
      <c r="L48" s="563"/>
      <c r="M48" s="563"/>
      <c r="N48" s="563"/>
    </row>
    <row r="49" spans="1:15" ht="24" customHeight="1">
      <c r="A49" s="213">
        <v>7</v>
      </c>
      <c r="B49" s="215" t="s">
        <v>286</v>
      </c>
      <c r="C49" s="586">
        <v>16</v>
      </c>
      <c r="D49" s="563">
        <f t="shared" si="10"/>
        <v>16</v>
      </c>
      <c r="E49" s="563"/>
      <c r="F49" s="563">
        <v>16</v>
      </c>
      <c r="G49" s="563"/>
      <c r="H49" s="563"/>
      <c r="I49" s="563"/>
      <c r="J49" s="563"/>
      <c r="K49" s="563"/>
      <c r="L49" s="563"/>
      <c r="M49" s="563"/>
      <c r="N49" s="563"/>
    </row>
    <row r="50" spans="1:15" ht="33.75" customHeight="1">
      <c r="A50" s="213">
        <v>8</v>
      </c>
      <c r="B50" s="215" t="s">
        <v>332</v>
      </c>
      <c r="C50" s="586">
        <v>30</v>
      </c>
      <c r="D50" s="563">
        <f t="shared" si="10"/>
        <v>30</v>
      </c>
      <c r="E50" s="563"/>
      <c r="F50" s="563">
        <v>30</v>
      </c>
      <c r="G50" s="563"/>
      <c r="H50" s="563"/>
      <c r="I50" s="563"/>
      <c r="J50" s="563"/>
      <c r="K50" s="563"/>
      <c r="L50" s="563"/>
      <c r="M50" s="563"/>
      <c r="N50" s="563"/>
    </row>
    <row r="51" spans="1:15" ht="24" customHeight="1">
      <c r="A51" s="213">
        <v>9</v>
      </c>
      <c r="B51" s="215" t="s">
        <v>291</v>
      </c>
      <c r="C51" s="586">
        <v>1500</v>
      </c>
      <c r="D51" s="563">
        <f t="shared" si="10"/>
        <v>1500</v>
      </c>
      <c r="E51" s="563"/>
      <c r="F51" s="563">
        <v>1500</v>
      </c>
      <c r="G51" s="563"/>
      <c r="H51" s="563"/>
      <c r="I51" s="563"/>
      <c r="J51" s="563"/>
      <c r="K51" s="563"/>
      <c r="L51" s="563"/>
      <c r="M51" s="563"/>
      <c r="N51" s="563"/>
    </row>
    <row r="52" spans="1:15" ht="51" customHeight="1">
      <c r="A52" s="213">
        <v>10</v>
      </c>
      <c r="B52" s="455" t="s">
        <v>380</v>
      </c>
      <c r="C52" s="563">
        <v>100</v>
      </c>
      <c r="D52" s="563">
        <f t="shared" si="10"/>
        <v>100</v>
      </c>
      <c r="E52" s="563"/>
      <c r="F52" s="563">
        <v>100</v>
      </c>
      <c r="G52" s="563"/>
      <c r="H52" s="563"/>
      <c r="I52" s="563"/>
      <c r="J52" s="563"/>
      <c r="K52" s="563"/>
      <c r="L52" s="563"/>
      <c r="M52" s="563"/>
      <c r="N52" s="563"/>
    </row>
    <row r="53" spans="1:15" ht="41.25" customHeight="1">
      <c r="A53" s="211" t="s">
        <v>26</v>
      </c>
      <c r="B53" s="212" t="s">
        <v>293</v>
      </c>
      <c r="C53" s="587">
        <v>0</v>
      </c>
      <c r="D53" s="563">
        <f t="shared" si="10"/>
        <v>0</v>
      </c>
      <c r="E53" s="563"/>
      <c r="F53" s="563"/>
      <c r="G53" s="563"/>
      <c r="H53" s="563"/>
      <c r="I53" s="563"/>
      <c r="J53" s="563"/>
      <c r="K53" s="563"/>
      <c r="L53" s="563"/>
      <c r="M53" s="563"/>
      <c r="N53" s="563"/>
    </row>
    <row r="54" spans="1:15" s="210" customFormat="1" ht="33" customHeight="1">
      <c r="A54" s="211" t="s">
        <v>26</v>
      </c>
      <c r="B54" s="212" t="s">
        <v>101</v>
      </c>
      <c r="C54" s="587">
        <v>5355</v>
      </c>
      <c r="D54" s="560">
        <f t="shared" si="10"/>
        <v>10261.5</v>
      </c>
      <c r="E54" s="560"/>
      <c r="F54" s="560"/>
      <c r="G54" s="560"/>
      <c r="H54" s="560"/>
      <c r="I54" s="560"/>
      <c r="J54" s="560">
        <v>10261.5</v>
      </c>
      <c r="K54" s="560"/>
      <c r="L54" s="560"/>
      <c r="M54" s="560"/>
      <c r="N54" s="560"/>
      <c r="O54" s="454"/>
    </row>
    <row r="55" spans="1:15" s="210" customFormat="1" ht="24" customHeight="1">
      <c r="A55" s="211" t="s">
        <v>32</v>
      </c>
      <c r="B55" s="212" t="s">
        <v>100</v>
      </c>
      <c r="C55" s="587">
        <v>5849</v>
      </c>
      <c r="D55" s="560">
        <f t="shared" si="10"/>
        <v>5849</v>
      </c>
      <c r="E55" s="560"/>
      <c r="F55" s="560"/>
      <c r="G55" s="560"/>
      <c r="H55" s="560"/>
      <c r="I55" s="560">
        <v>5849</v>
      </c>
      <c r="J55" s="560"/>
      <c r="K55" s="560"/>
      <c r="L55" s="560"/>
      <c r="M55" s="560"/>
      <c r="N55" s="560"/>
      <c r="O55" s="454"/>
    </row>
    <row r="56" spans="1:15" s="210" customFormat="1" ht="36.75" customHeight="1">
      <c r="A56" s="211" t="s">
        <v>64</v>
      </c>
      <c r="B56" s="212" t="s">
        <v>295</v>
      </c>
      <c r="C56" s="587">
        <v>59095.779000000002</v>
      </c>
      <c r="D56" s="560">
        <f>SUM(D57:D67)</f>
        <v>59320.739000000001</v>
      </c>
      <c r="E56" s="560">
        <f t="shared" ref="E56:J56" si="11">SUM(E57:E67)</f>
        <v>0</v>
      </c>
      <c r="F56" s="560">
        <f t="shared" si="11"/>
        <v>58106.739000000001</v>
      </c>
      <c r="G56" s="560">
        <f t="shared" si="11"/>
        <v>0</v>
      </c>
      <c r="H56" s="560">
        <f t="shared" si="11"/>
        <v>0</v>
      </c>
      <c r="I56" s="560">
        <f t="shared" si="11"/>
        <v>1214</v>
      </c>
      <c r="J56" s="560">
        <f t="shared" si="11"/>
        <v>0</v>
      </c>
      <c r="K56" s="560"/>
      <c r="L56" s="560"/>
      <c r="M56" s="560"/>
      <c r="N56" s="560"/>
      <c r="O56" s="454">
        <f>D56-C56</f>
        <v>224.95999999999913</v>
      </c>
    </row>
    <row r="57" spans="1:15" ht="24" customHeight="1">
      <c r="A57" s="211"/>
      <c r="B57" s="215" t="s">
        <v>277</v>
      </c>
      <c r="C57" s="586">
        <v>4201.1980000000003</v>
      </c>
      <c r="D57" s="563">
        <f t="shared" ref="D57:D67" si="12">E57+F57+G57+H57+I57+J57+K57+N57</f>
        <v>4232.3180000000002</v>
      </c>
      <c r="E57" s="563"/>
      <c r="F57" s="563">
        <f>4085.198+31.12</f>
        <v>4116.3180000000002</v>
      </c>
      <c r="G57" s="563"/>
      <c r="H57" s="563"/>
      <c r="I57" s="563">
        <v>116</v>
      </c>
      <c r="J57" s="563"/>
      <c r="K57" s="563"/>
      <c r="L57" s="563"/>
      <c r="M57" s="563"/>
      <c r="N57" s="563"/>
    </row>
    <row r="58" spans="1:15" ht="24" customHeight="1">
      <c r="A58" s="211"/>
      <c r="B58" s="215" t="s">
        <v>159</v>
      </c>
      <c r="C58" s="586">
        <v>4266.1899999999996</v>
      </c>
      <c r="D58" s="563">
        <f t="shared" si="12"/>
        <v>4274.9399999999996</v>
      </c>
      <c r="E58" s="563"/>
      <c r="F58" s="563">
        <f>4182.19+8.75</f>
        <v>4190.9399999999996</v>
      </c>
      <c r="G58" s="563"/>
      <c r="H58" s="563"/>
      <c r="I58" s="563">
        <v>84</v>
      </c>
      <c r="J58" s="563"/>
      <c r="K58" s="563"/>
      <c r="L58" s="563"/>
      <c r="M58" s="563"/>
      <c r="N58" s="563"/>
    </row>
    <row r="59" spans="1:15" ht="24" customHeight="1">
      <c r="A59" s="211"/>
      <c r="B59" s="215" t="s">
        <v>160</v>
      </c>
      <c r="C59" s="586">
        <v>4336.9129999999996</v>
      </c>
      <c r="D59" s="563">
        <f t="shared" si="12"/>
        <v>4396.6229999999996</v>
      </c>
      <c r="E59" s="563"/>
      <c r="F59" s="563">
        <f>4250.913+50+9.71</f>
        <v>4310.6229999999996</v>
      </c>
      <c r="G59" s="563"/>
      <c r="H59" s="563"/>
      <c r="I59" s="563">
        <v>86</v>
      </c>
      <c r="J59" s="563"/>
      <c r="K59" s="563"/>
      <c r="L59" s="563"/>
      <c r="M59" s="563"/>
      <c r="N59" s="563"/>
    </row>
    <row r="60" spans="1:15" ht="24" customHeight="1">
      <c r="A60" s="211"/>
      <c r="B60" s="215" t="s">
        <v>158</v>
      </c>
      <c r="C60" s="586">
        <v>4261.2969999999996</v>
      </c>
      <c r="D60" s="563">
        <f t="shared" si="12"/>
        <v>4270.7969999999996</v>
      </c>
      <c r="E60" s="563"/>
      <c r="F60" s="563">
        <f>4177.297+9.5</f>
        <v>4186.7969999999996</v>
      </c>
      <c r="G60" s="563"/>
      <c r="H60" s="563"/>
      <c r="I60" s="563">
        <v>84</v>
      </c>
      <c r="J60" s="563"/>
      <c r="K60" s="563"/>
      <c r="L60" s="563"/>
      <c r="M60" s="563"/>
      <c r="N60" s="563"/>
    </row>
    <row r="61" spans="1:15" ht="24" customHeight="1">
      <c r="A61" s="211"/>
      <c r="B61" s="215" t="s">
        <v>161</v>
      </c>
      <c r="C61" s="586">
        <v>5420.5659999999998</v>
      </c>
      <c r="D61" s="563">
        <f t="shared" si="12"/>
        <v>5458.5159999999996</v>
      </c>
      <c r="E61" s="563"/>
      <c r="F61" s="563">
        <f>5312.566+385.19-361.84+14.6</f>
        <v>5350.5159999999996</v>
      </c>
      <c r="G61" s="563"/>
      <c r="H61" s="563"/>
      <c r="I61" s="563">
        <v>108</v>
      </c>
      <c r="J61" s="563"/>
      <c r="K61" s="563"/>
      <c r="L61" s="563"/>
      <c r="M61" s="563"/>
      <c r="N61" s="563"/>
    </row>
    <row r="62" spans="1:15" ht="24" customHeight="1">
      <c r="A62" s="211"/>
      <c r="B62" s="215" t="s">
        <v>162</v>
      </c>
      <c r="C62" s="586">
        <v>4695.3999999999996</v>
      </c>
      <c r="D62" s="563">
        <f t="shared" si="12"/>
        <v>4705.6799999999994</v>
      </c>
      <c r="E62" s="563"/>
      <c r="F62" s="563">
        <f>4602.4+10.28</f>
        <v>4612.6799999999994</v>
      </c>
      <c r="G62" s="563"/>
      <c r="H62" s="563"/>
      <c r="I62" s="563">
        <v>93</v>
      </c>
      <c r="J62" s="563"/>
      <c r="K62" s="563"/>
      <c r="L62" s="563"/>
      <c r="M62" s="563"/>
      <c r="N62" s="563"/>
    </row>
    <row r="63" spans="1:15" ht="24" customHeight="1">
      <c r="A63" s="211"/>
      <c r="B63" s="215" t="s">
        <v>278</v>
      </c>
      <c r="C63" s="586">
        <v>4615.9620000000004</v>
      </c>
      <c r="D63" s="563">
        <f t="shared" si="12"/>
        <v>4627.7320000000009</v>
      </c>
      <c r="E63" s="563"/>
      <c r="F63" s="563">
        <f>4524.962+11.77</f>
        <v>4536.7320000000009</v>
      </c>
      <c r="G63" s="563"/>
      <c r="H63" s="563"/>
      <c r="I63" s="563">
        <v>91</v>
      </c>
      <c r="J63" s="563"/>
      <c r="K63" s="563"/>
      <c r="L63" s="563"/>
      <c r="M63" s="563"/>
      <c r="N63" s="563"/>
    </row>
    <row r="64" spans="1:15" ht="24" customHeight="1">
      <c r="A64" s="211"/>
      <c r="B64" s="215" t="s">
        <v>163</v>
      </c>
      <c r="C64" s="586">
        <v>6714.96</v>
      </c>
      <c r="D64" s="563">
        <f t="shared" si="12"/>
        <v>6734.02</v>
      </c>
      <c r="E64" s="563"/>
      <c r="F64" s="563">
        <f>6582.96+19.06</f>
        <v>6602.02</v>
      </c>
      <c r="G64" s="563"/>
      <c r="H64" s="563"/>
      <c r="I64" s="563">
        <v>132</v>
      </c>
      <c r="J64" s="563"/>
      <c r="K64" s="563"/>
      <c r="L64" s="563"/>
      <c r="M64" s="563"/>
      <c r="N64" s="563"/>
    </row>
    <row r="65" spans="1:15" ht="24" customHeight="1">
      <c r="A65" s="211"/>
      <c r="B65" s="215" t="s">
        <v>167</v>
      </c>
      <c r="C65" s="586">
        <v>6889.616</v>
      </c>
      <c r="D65" s="563">
        <f t="shared" si="12"/>
        <v>6899.8959999999997</v>
      </c>
      <c r="E65" s="563"/>
      <c r="F65" s="563">
        <f>6753.616+10.28</f>
        <v>6763.8959999999997</v>
      </c>
      <c r="G65" s="563"/>
      <c r="H65" s="563"/>
      <c r="I65" s="563">
        <v>136</v>
      </c>
      <c r="J65" s="563"/>
      <c r="K65" s="563"/>
      <c r="L65" s="563"/>
      <c r="M65" s="563"/>
      <c r="N65" s="563"/>
    </row>
    <row r="66" spans="1:15" ht="24" customHeight="1">
      <c r="A66" s="211"/>
      <c r="B66" s="215" t="s">
        <v>165</v>
      </c>
      <c r="C66" s="586">
        <v>6521.451</v>
      </c>
      <c r="D66" s="563">
        <f t="shared" si="12"/>
        <v>6530.8710000000001</v>
      </c>
      <c r="E66" s="563"/>
      <c r="F66" s="563">
        <f>6392.451+9.42</f>
        <v>6401.8710000000001</v>
      </c>
      <c r="G66" s="563"/>
      <c r="H66" s="563"/>
      <c r="I66" s="563">
        <v>129</v>
      </c>
      <c r="J66" s="563"/>
      <c r="K66" s="563"/>
      <c r="L66" s="563"/>
      <c r="M66" s="563"/>
      <c r="N66" s="563"/>
    </row>
    <row r="67" spans="1:15" ht="24" customHeight="1">
      <c r="A67" s="211"/>
      <c r="B67" s="215" t="s">
        <v>166</v>
      </c>
      <c r="C67" s="586">
        <v>7172.2259999999997</v>
      </c>
      <c r="D67" s="563">
        <f t="shared" si="12"/>
        <v>7189.3459999999995</v>
      </c>
      <c r="E67" s="563"/>
      <c r="F67" s="563">
        <f>7017.226+17.12</f>
        <v>7034.3459999999995</v>
      </c>
      <c r="G67" s="563"/>
      <c r="H67" s="563"/>
      <c r="I67" s="563">
        <v>155</v>
      </c>
      <c r="J67" s="563"/>
      <c r="K67" s="563"/>
      <c r="L67" s="563"/>
      <c r="M67" s="563"/>
      <c r="N67" s="563"/>
    </row>
    <row r="68" spans="1:15" s="210" customFormat="1" ht="43.5" customHeight="1">
      <c r="A68" s="456" t="s">
        <v>102</v>
      </c>
      <c r="B68" s="457" t="s">
        <v>103</v>
      </c>
      <c r="C68" s="588">
        <v>0</v>
      </c>
      <c r="D68" s="589">
        <f>E68+F68+G68+H68+K68+N68</f>
        <v>0</v>
      </c>
      <c r="E68" s="589"/>
      <c r="F68" s="589"/>
      <c r="G68" s="589"/>
      <c r="H68" s="589"/>
      <c r="I68" s="589"/>
      <c r="J68" s="589"/>
      <c r="K68" s="589"/>
      <c r="L68" s="589"/>
      <c r="M68" s="589"/>
      <c r="N68" s="589"/>
      <c r="O68" s="454"/>
    </row>
    <row r="69" spans="1:15">
      <c r="E69" s="427"/>
    </row>
    <row r="70" spans="1:15">
      <c r="E70" s="427"/>
    </row>
    <row r="71" spans="1:15">
      <c r="E71" s="427"/>
    </row>
    <row r="72" spans="1:15">
      <c r="E72" s="427"/>
    </row>
  </sheetData>
  <mergeCells count="16">
    <mergeCell ref="A1:B1"/>
    <mergeCell ref="M1:N1"/>
    <mergeCell ref="A2:N2"/>
    <mergeCell ref="L3:N3"/>
    <mergeCell ref="G4:G5"/>
    <mergeCell ref="A4:A5"/>
    <mergeCell ref="B4:B5"/>
    <mergeCell ref="D4:D5"/>
    <mergeCell ref="E4:E5"/>
    <mergeCell ref="F4:F5"/>
    <mergeCell ref="C4:C5"/>
    <mergeCell ref="H4:H5"/>
    <mergeCell ref="I4:I5"/>
    <mergeCell ref="J4:J5"/>
    <mergeCell ref="K4:M4"/>
    <mergeCell ref="N4:N5"/>
  </mergeCells>
  <printOptions horizontalCentered="1"/>
  <pageMargins left="0.5" right="0.25" top="0.5" bottom="0.5" header="0.31496062992126" footer="0.196850393700787"/>
  <pageSetup paperSize="9" scale="75"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view="pageBreakPreview" zoomScale="90" zoomScaleNormal="100" zoomScaleSheetLayoutView="90" workbookViewId="0">
      <selection activeCell="I4" sqref="A4:XFD4"/>
    </sheetView>
  </sheetViews>
  <sheetFormatPr defaultRowHeight="15"/>
  <cols>
    <col min="1" max="1" width="5.42578125" style="201" customWidth="1"/>
    <col min="2" max="2" width="27.7109375" style="201" customWidth="1"/>
    <col min="3" max="4" width="9.7109375" style="201" bestFit="1" customWidth="1"/>
    <col min="5" max="13" width="9.28515625" style="201" bestFit="1" customWidth="1"/>
    <col min="14" max="14" width="9.7109375" style="468" bestFit="1" customWidth="1"/>
    <col min="15" max="18" width="9.28515625" style="201" bestFit="1" customWidth="1"/>
    <col min="19" max="19" width="9.7109375" style="201" customWidth="1"/>
    <col min="20" max="16384" width="9.140625" style="201"/>
  </cols>
  <sheetData>
    <row r="1" spans="1:20">
      <c r="A1" s="717" t="s">
        <v>168</v>
      </c>
      <c r="B1" s="717"/>
      <c r="C1" s="216"/>
      <c r="D1" s="216"/>
      <c r="L1" s="216"/>
      <c r="Q1" s="717" t="s">
        <v>104</v>
      </c>
      <c r="R1" s="717"/>
      <c r="S1" s="717"/>
    </row>
    <row r="2" spans="1:20">
      <c r="A2" s="717" t="s">
        <v>394</v>
      </c>
      <c r="B2" s="717"/>
      <c r="C2" s="717"/>
      <c r="D2" s="717"/>
      <c r="E2" s="717"/>
      <c r="F2" s="717"/>
      <c r="G2" s="717"/>
      <c r="H2" s="717"/>
      <c r="I2" s="717"/>
      <c r="J2" s="717"/>
      <c r="K2" s="717"/>
      <c r="L2" s="717"/>
      <c r="M2" s="717"/>
      <c r="N2" s="717"/>
      <c r="O2" s="717"/>
      <c r="P2" s="717"/>
      <c r="Q2" s="717"/>
      <c r="R2" s="717"/>
      <c r="S2" s="717"/>
    </row>
    <row r="3" spans="1:20">
      <c r="A3" s="436"/>
      <c r="B3" s="436"/>
      <c r="C3" s="436"/>
      <c r="D3" s="436"/>
      <c r="E3" s="469"/>
      <c r="F3" s="436"/>
      <c r="G3" s="436"/>
      <c r="H3" s="436"/>
      <c r="I3" s="436"/>
      <c r="J3" s="436"/>
      <c r="K3" s="436"/>
      <c r="L3" s="436"/>
      <c r="M3" s="436"/>
      <c r="N3" s="436"/>
      <c r="O3" s="436"/>
      <c r="P3" s="436"/>
      <c r="Q3" s="436"/>
      <c r="R3" s="436"/>
      <c r="S3" s="436"/>
    </row>
    <row r="4" spans="1:20">
      <c r="A4" s="771" t="s">
        <v>10</v>
      </c>
      <c r="B4" s="771" t="s">
        <v>48</v>
      </c>
      <c r="C4" s="771" t="s">
        <v>680</v>
      </c>
      <c r="D4" s="789" t="s">
        <v>654</v>
      </c>
      <c r="E4" s="789"/>
      <c r="F4" s="789"/>
      <c r="G4" s="789"/>
      <c r="H4" s="789"/>
      <c r="I4" s="789"/>
      <c r="J4" s="789"/>
      <c r="K4" s="789"/>
      <c r="L4" s="789"/>
      <c r="M4" s="789"/>
      <c r="N4" s="789"/>
      <c r="O4" s="789"/>
      <c r="P4" s="789"/>
      <c r="Q4" s="789"/>
      <c r="R4" s="789"/>
      <c r="S4" s="789"/>
    </row>
    <row r="5" spans="1:20">
      <c r="A5" s="771"/>
      <c r="B5" s="771"/>
      <c r="C5" s="771"/>
      <c r="D5" s="771" t="s">
        <v>655</v>
      </c>
      <c r="E5" s="771" t="s">
        <v>302</v>
      </c>
      <c r="F5" s="771" t="s">
        <v>303</v>
      </c>
      <c r="G5" s="771" t="s">
        <v>304</v>
      </c>
      <c r="H5" s="771" t="s">
        <v>75</v>
      </c>
      <c r="I5" s="771" t="s">
        <v>185</v>
      </c>
      <c r="J5" s="771" t="s">
        <v>105</v>
      </c>
      <c r="K5" s="771" t="s">
        <v>305</v>
      </c>
      <c r="L5" s="771" t="s">
        <v>306</v>
      </c>
      <c r="M5" s="771" t="s">
        <v>307</v>
      </c>
      <c r="N5" s="771" t="s">
        <v>308</v>
      </c>
      <c r="O5" s="771" t="s">
        <v>107</v>
      </c>
      <c r="P5" s="771"/>
      <c r="Q5" s="771" t="s">
        <v>91</v>
      </c>
      <c r="R5" s="771" t="s">
        <v>309</v>
      </c>
      <c r="S5" s="771" t="s">
        <v>83</v>
      </c>
    </row>
    <row r="6" spans="1:20" ht="71.25" customHeight="1">
      <c r="A6" s="771"/>
      <c r="B6" s="771"/>
      <c r="C6" s="771"/>
      <c r="D6" s="771"/>
      <c r="E6" s="771"/>
      <c r="F6" s="771"/>
      <c r="G6" s="771"/>
      <c r="H6" s="771"/>
      <c r="I6" s="771"/>
      <c r="J6" s="771"/>
      <c r="K6" s="771"/>
      <c r="L6" s="771"/>
      <c r="M6" s="771"/>
      <c r="N6" s="771"/>
      <c r="O6" s="446" t="s">
        <v>108</v>
      </c>
      <c r="P6" s="446" t="s">
        <v>110</v>
      </c>
      <c r="Q6" s="771"/>
      <c r="R6" s="771"/>
      <c r="S6" s="771"/>
    </row>
    <row r="7" spans="1:20">
      <c r="A7" s="470" t="s">
        <v>14</v>
      </c>
      <c r="B7" s="470" t="s">
        <v>15</v>
      </c>
      <c r="C7" s="470">
        <v>1</v>
      </c>
      <c r="D7" s="470">
        <v>1</v>
      </c>
      <c r="E7" s="470">
        <v>2</v>
      </c>
      <c r="F7" s="470">
        <v>3</v>
      </c>
      <c r="G7" s="470">
        <v>4</v>
      </c>
      <c r="H7" s="470">
        <v>5</v>
      </c>
      <c r="I7" s="470">
        <v>6</v>
      </c>
      <c r="J7" s="470">
        <v>7</v>
      </c>
      <c r="K7" s="470">
        <v>8</v>
      </c>
      <c r="L7" s="470">
        <v>9</v>
      </c>
      <c r="M7" s="470">
        <v>10</v>
      </c>
      <c r="N7" s="470">
        <v>11</v>
      </c>
      <c r="O7" s="470">
        <v>12</v>
      </c>
      <c r="P7" s="470">
        <v>13</v>
      </c>
      <c r="Q7" s="470">
        <v>14</v>
      </c>
      <c r="R7" s="470">
        <v>15</v>
      </c>
      <c r="S7" s="470">
        <v>16</v>
      </c>
    </row>
    <row r="8" spans="1:20">
      <c r="A8" s="207"/>
      <c r="B8" s="207" t="s">
        <v>41</v>
      </c>
      <c r="C8" s="209">
        <v>104491</v>
      </c>
      <c r="D8" s="209">
        <f>D9+D10+D12+D13+D24+D25</f>
        <v>104491</v>
      </c>
      <c r="E8" s="209">
        <f t="shared" ref="E8:S8" si="0">E9+E10+E12+E13+E24+E25</f>
        <v>5702</v>
      </c>
      <c r="F8" s="209">
        <f t="shared" si="0"/>
        <v>0</v>
      </c>
      <c r="G8" s="209">
        <f t="shared" si="0"/>
        <v>0</v>
      </c>
      <c r="H8" s="209">
        <f t="shared" si="0"/>
        <v>5700</v>
      </c>
      <c r="I8" s="209">
        <f t="shared" si="0"/>
        <v>0</v>
      </c>
      <c r="J8" s="209">
        <f t="shared" si="0"/>
        <v>0</v>
      </c>
      <c r="K8" s="209">
        <f t="shared" si="0"/>
        <v>0</v>
      </c>
      <c r="L8" s="209">
        <f t="shared" si="0"/>
        <v>0</v>
      </c>
      <c r="M8" s="209">
        <f t="shared" si="0"/>
        <v>0</v>
      </c>
      <c r="N8" s="209">
        <f t="shared" si="0"/>
        <v>86889</v>
      </c>
      <c r="O8" s="209">
        <f t="shared" si="0"/>
        <v>0</v>
      </c>
      <c r="P8" s="209">
        <f t="shared" si="0"/>
        <v>0</v>
      </c>
      <c r="Q8" s="209">
        <f t="shared" si="0"/>
        <v>6200</v>
      </c>
      <c r="R8" s="209">
        <f t="shared" si="0"/>
        <v>0</v>
      </c>
      <c r="S8" s="209">
        <f t="shared" si="0"/>
        <v>0</v>
      </c>
    </row>
    <row r="9" spans="1:20">
      <c r="A9" s="590" t="s">
        <v>310</v>
      </c>
      <c r="B9" s="591" t="s">
        <v>692</v>
      </c>
      <c r="C9" s="592">
        <v>78432</v>
      </c>
      <c r="D9" s="592">
        <f>SUM(E9:S9)</f>
        <v>78432</v>
      </c>
      <c r="E9" s="592">
        <v>5702</v>
      </c>
      <c r="F9" s="592">
        <v>0</v>
      </c>
      <c r="G9" s="593">
        <v>0</v>
      </c>
      <c r="H9" s="592"/>
      <c r="I9" s="592">
        <v>0</v>
      </c>
      <c r="J9" s="592">
        <v>0</v>
      </c>
      <c r="K9" s="592">
        <v>0</v>
      </c>
      <c r="L9" s="592"/>
      <c r="M9" s="592"/>
      <c r="N9" s="592">
        <v>72730</v>
      </c>
      <c r="O9" s="592"/>
      <c r="P9" s="592"/>
      <c r="Q9" s="592"/>
      <c r="R9" s="593">
        <v>0</v>
      </c>
      <c r="S9" s="592"/>
    </row>
    <row r="10" spans="1:20">
      <c r="A10" s="590" t="s">
        <v>311</v>
      </c>
      <c r="B10" s="591" t="s">
        <v>691</v>
      </c>
      <c r="C10" s="592">
        <v>6200</v>
      </c>
      <c r="D10" s="592">
        <f>SUM(E10:S10)</f>
        <v>6200</v>
      </c>
      <c r="E10" s="592"/>
      <c r="F10" s="592"/>
      <c r="G10" s="593"/>
      <c r="H10" s="592"/>
      <c r="I10" s="592"/>
      <c r="J10" s="592"/>
      <c r="K10" s="592"/>
      <c r="L10" s="592"/>
      <c r="M10" s="592"/>
      <c r="N10" s="592"/>
      <c r="O10" s="592"/>
      <c r="P10" s="592"/>
      <c r="Q10" s="592">
        <v>6200</v>
      </c>
      <c r="R10" s="593"/>
      <c r="S10" s="592"/>
      <c r="T10" s="216"/>
    </row>
    <row r="11" spans="1:20">
      <c r="A11" s="590" t="s">
        <v>312</v>
      </c>
      <c r="B11" s="591" t="s">
        <v>688</v>
      </c>
      <c r="C11" s="592">
        <v>0</v>
      </c>
      <c r="D11" s="592">
        <f t="shared" ref="D11:D12" si="1">SUM(E11:S11)</f>
        <v>0</v>
      </c>
      <c r="E11" s="592"/>
      <c r="F11" s="592"/>
      <c r="G11" s="593"/>
      <c r="H11" s="592"/>
      <c r="I11" s="592"/>
      <c r="J11" s="592"/>
      <c r="K11" s="592"/>
      <c r="L11" s="592"/>
      <c r="M11" s="592"/>
      <c r="N11" s="592"/>
      <c r="O11" s="592"/>
      <c r="P11" s="592"/>
      <c r="Q11" s="592"/>
      <c r="R11" s="593"/>
      <c r="S11" s="592"/>
    </row>
    <row r="12" spans="1:20">
      <c r="A12" s="590" t="s">
        <v>314</v>
      </c>
      <c r="B12" s="591" t="s">
        <v>313</v>
      </c>
      <c r="C12" s="592">
        <v>3098</v>
      </c>
      <c r="D12" s="592">
        <f t="shared" si="1"/>
        <v>3098</v>
      </c>
      <c r="E12" s="592"/>
      <c r="F12" s="592"/>
      <c r="G12" s="592"/>
      <c r="H12" s="592"/>
      <c r="I12" s="592"/>
      <c r="J12" s="592"/>
      <c r="K12" s="592"/>
      <c r="L12" s="592"/>
      <c r="M12" s="592"/>
      <c r="N12" s="592">
        <f>1271+1827</f>
        <v>3098</v>
      </c>
      <c r="O12" s="592"/>
      <c r="P12" s="592"/>
      <c r="Q12" s="592"/>
      <c r="R12" s="592"/>
      <c r="S12" s="592"/>
      <c r="T12" s="471"/>
    </row>
    <row r="13" spans="1:20">
      <c r="A13" s="590" t="s">
        <v>316</v>
      </c>
      <c r="B13" s="591" t="s">
        <v>315</v>
      </c>
      <c r="C13" s="592">
        <v>8640</v>
      </c>
      <c r="D13" s="592">
        <f>SUM(E13:S13)</f>
        <v>8640</v>
      </c>
      <c r="E13" s="592">
        <f t="shared" ref="E13:S13" si="2">SUM(E14:E23)</f>
        <v>0</v>
      </c>
      <c r="F13" s="592">
        <f t="shared" si="2"/>
        <v>0</v>
      </c>
      <c r="G13" s="592">
        <f t="shared" si="2"/>
        <v>0</v>
      </c>
      <c r="H13" s="592">
        <f t="shared" si="2"/>
        <v>0</v>
      </c>
      <c r="I13" s="592">
        <f t="shared" si="2"/>
        <v>0</v>
      </c>
      <c r="J13" s="592">
        <f t="shared" si="2"/>
        <v>0</v>
      </c>
      <c r="K13" s="592">
        <f t="shared" si="2"/>
        <v>0</v>
      </c>
      <c r="L13" s="592">
        <f t="shared" si="2"/>
        <v>0</v>
      </c>
      <c r="M13" s="592">
        <f t="shared" si="2"/>
        <v>0</v>
      </c>
      <c r="N13" s="592">
        <f>SUM(N14:N23)</f>
        <v>8640</v>
      </c>
      <c r="O13" s="592">
        <f t="shared" si="2"/>
        <v>0</v>
      </c>
      <c r="P13" s="592">
        <f t="shared" si="2"/>
        <v>0</v>
      </c>
      <c r="Q13" s="592">
        <f t="shared" si="2"/>
        <v>0</v>
      </c>
      <c r="R13" s="592">
        <f t="shared" si="2"/>
        <v>0</v>
      </c>
      <c r="S13" s="592">
        <f t="shared" si="2"/>
        <v>0</v>
      </c>
      <c r="T13" s="216"/>
    </row>
    <row r="14" spans="1:20">
      <c r="A14" s="594" t="s">
        <v>20</v>
      </c>
      <c r="B14" s="591" t="str">
        <f>+'[11]Bieu 02. Chi tiet CĐNSĐP 2019'!B68</f>
        <v>Thị trấn</v>
      </c>
      <c r="C14" s="592">
        <v>3500</v>
      </c>
      <c r="D14" s="592">
        <f t="shared" ref="D14:D25" si="3">SUM(E14:N14,Q14,R14,S14)</f>
        <v>3500</v>
      </c>
      <c r="E14" s="592"/>
      <c r="F14" s="592"/>
      <c r="G14" s="592"/>
      <c r="H14" s="592"/>
      <c r="I14" s="592"/>
      <c r="J14" s="592"/>
      <c r="K14" s="592"/>
      <c r="L14" s="592"/>
      <c r="M14" s="592"/>
      <c r="N14" s="592">
        <v>3500</v>
      </c>
      <c r="O14" s="592"/>
      <c r="P14" s="592"/>
      <c r="Q14" s="592"/>
      <c r="R14" s="592"/>
      <c r="S14" s="592"/>
    </row>
    <row r="15" spans="1:20">
      <c r="A15" s="594" t="s">
        <v>20</v>
      </c>
      <c r="B15" s="591" t="str">
        <f>+'[11]Bieu 02. Chi tiet CĐNSĐP 2019'!B69</f>
        <v>Sa Nghĩa</v>
      </c>
      <c r="C15" s="592">
        <v>10</v>
      </c>
      <c r="D15" s="592">
        <f t="shared" si="3"/>
        <v>10</v>
      </c>
      <c r="E15" s="592"/>
      <c r="F15" s="592"/>
      <c r="G15" s="592"/>
      <c r="H15" s="592"/>
      <c r="I15" s="592"/>
      <c r="J15" s="592"/>
      <c r="K15" s="592"/>
      <c r="L15" s="592"/>
      <c r="M15" s="592"/>
      <c r="N15" s="592">
        <v>10</v>
      </c>
      <c r="O15" s="592"/>
      <c r="P15" s="592"/>
      <c r="Q15" s="592"/>
      <c r="R15" s="592"/>
      <c r="S15" s="592"/>
    </row>
    <row r="16" spans="1:20">
      <c r="A16" s="594" t="s">
        <v>20</v>
      </c>
      <c r="B16" s="591" t="str">
        <f>+'[11]Bieu 02. Chi tiet CĐNSĐP 2019'!B70</f>
        <v>Sa Bình</v>
      </c>
      <c r="C16" s="592">
        <v>20</v>
      </c>
      <c r="D16" s="592">
        <f t="shared" si="3"/>
        <v>20</v>
      </c>
      <c r="E16" s="592"/>
      <c r="F16" s="592"/>
      <c r="G16" s="592"/>
      <c r="H16" s="592"/>
      <c r="I16" s="592"/>
      <c r="J16" s="592"/>
      <c r="K16" s="592"/>
      <c r="L16" s="592"/>
      <c r="M16" s="592"/>
      <c r="N16" s="592">
        <v>20</v>
      </c>
      <c r="O16" s="592"/>
      <c r="P16" s="592"/>
      <c r="Q16" s="592"/>
      <c r="R16" s="592"/>
      <c r="S16" s="592"/>
    </row>
    <row r="17" spans="1:19">
      <c r="A17" s="594" t="s">
        <v>20</v>
      </c>
      <c r="B17" s="591" t="str">
        <f>+'[11]Bieu 02. Chi tiet CĐNSĐP 2019'!B71</f>
        <v>Sa Sơn</v>
      </c>
      <c r="C17" s="592">
        <v>10</v>
      </c>
      <c r="D17" s="592">
        <f t="shared" si="3"/>
        <v>10</v>
      </c>
      <c r="E17" s="592"/>
      <c r="F17" s="592"/>
      <c r="G17" s="592"/>
      <c r="H17" s="592"/>
      <c r="I17" s="592"/>
      <c r="J17" s="592"/>
      <c r="K17" s="592"/>
      <c r="L17" s="592"/>
      <c r="M17" s="592"/>
      <c r="N17" s="592">
        <v>10</v>
      </c>
      <c r="O17" s="592"/>
      <c r="P17" s="592"/>
      <c r="Q17" s="592"/>
      <c r="R17" s="592"/>
      <c r="S17" s="592"/>
    </row>
    <row r="18" spans="1:19">
      <c r="A18" s="594" t="s">
        <v>20</v>
      </c>
      <c r="B18" s="591" t="str">
        <f>+'[11]Bieu 02. Chi tiet CĐNSĐP 2019'!B72</f>
        <v>Sa Nhơn</v>
      </c>
      <c r="C18" s="592">
        <v>10</v>
      </c>
      <c r="D18" s="592">
        <f t="shared" si="3"/>
        <v>10</v>
      </c>
      <c r="E18" s="592"/>
      <c r="F18" s="592"/>
      <c r="G18" s="592"/>
      <c r="H18" s="592"/>
      <c r="I18" s="592"/>
      <c r="J18" s="592"/>
      <c r="K18" s="592"/>
      <c r="L18" s="592"/>
      <c r="M18" s="592"/>
      <c r="N18" s="592">
        <v>10</v>
      </c>
      <c r="O18" s="592"/>
      <c r="P18" s="592"/>
      <c r="Q18" s="592"/>
      <c r="R18" s="592"/>
      <c r="S18" s="592"/>
    </row>
    <row r="19" spans="1:19">
      <c r="A19" s="594" t="s">
        <v>20</v>
      </c>
      <c r="B19" s="591" t="str">
        <f>+'[11]Bieu 02. Chi tiet CĐNSĐP 2019'!B73</f>
        <v>Ya Ly</v>
      </c>
      <c r="C19" s="592">
        <v>65</v>
      </c>
      <c r="D19" s="592">
        <f t="shared" si="3"/>
        <v>65</v>
      </c>
      <c r="E19" s="592"/>
      <c r="F19" s="592"/>
      <c r="G19" s="592"/>
      <c r="H19" s="592"/>
      <c r="I19" s="592"/>
      <c r="J19" s="592"/>
      <c r="K19" s="592"/>
      <c r="L19" s="592"/>
      <c r="M19" s="592"/>
      <c r="N19" s="592">
        <v>65</v>
      </c>
      <c r="O19" s="592"/>
      <c r="P19" s="592"/>
      <c r="Q19" s="592"/>
      <c r="R19" s="592"/>
      <c r="S19" s="592"/>
    </row>
    <row r="20" spans="1:19">
      <c r="A20" s="594" t="s">
        <v>20</v>
      </c>
      <c r="B20" s="591" t="str">
        <f>+'[11]Bieu 02. Chi tiet CĐNSĐP 2019'!B74</f>
        <v xml:space="preserve">Ya Xiêr </v>
      </c>
      <c r="C20" s="592">
        <v>10</v>
      </c>
      <c r="D20" s="592">
        <f t="shared" si="3"/>
        <v>10</v>
      </c>
      <c r="E20" s="592"/>
      <c r="F20" s="592"/>
      <c r="G20" s="592"/>
      <c r="H20" s="592"/>
      <c r="I20" s="592"/>
      <c r="J20" s="592"/>
      <c r="K20" s="592"/>
      <c r="L20" s="592"/>
      <c r="M20" s="592"/>
      <c r="N20" s="592">
        <v>10</v>
      </c>
      <c r="O20" s="592"/>
      <c r="P20" s="592"/>
      <c r="Q20" s="592"/>
      <c r="R20" s="592"/>
      <c r="S20" s="592"/>
    </row>
    <row r="21" spans="1:19">
      <c r="A21" s="594" t="s">
        <v>20</v>
      </c>
      <c r="B21" s="591" t="str">
        <f>+'[11]Bieu 02. Chi tiet CĐNSĐP 2019'!B75</f>
        <v>Rờ Kơi</v>
      </c>
      <c r="C21" s="592">
        <v>5</v>
      </c>
      <c r="D21" s="592">
        <f t="shared" si="3"/>
        <v>5</v>
      </c>
      <c r="E21" s="592"/>
      <c r="F21" s="592"/>
      <c r="G21" s="592"/>
      <c r="H21" s="592"/>
      <c r="I21" s="592"/>
      <c r="J21" s="592"/>
      <c r="K21" s="592"/>
      <c r="L21" s="592"/>
      <c r="M21" s="592"/>
      <c r="N21" s="592">
        <v>5</v>
      </c>
      <c r="O21" s="592"/>
      <c r="P21" s="592"/>
      <c r="Q21" s="592"/>
      <c r="R21" s="592"/>
      <c r="S21" s="592"/>
    </row>
    <row r="22" spans="1:19">
      <c r="A22" s="594" t="s">
        <v>20</v>
      </c>
      <c r="B22" s="591" t="str">
        <f>+'[11]Bieu 02. Chi tiet CĐNSĐP 2019'!B76</f>
        <v>Mô Rai</v>
      </c>
      <c r="C22" s="592">
        <v>5000</v>
      </c>
      <c r="D22" s="592">
        <f t="shared" si="3"/>
        <v>5000</v>
      </c>
      <c r="E22" s="592"/>
      <c r="F22" s="592"/>
      <c r="G22" s="592"/>
      <c r="H22" s="592"/>
      <c r="I22" s="592"/>
      <c r="J22" s="592"/>
      <c r="K22" s="592"/>
      <c r="L22" s="592"/>
      <c r="M22" s="592"/>
      <c r="N22" s="592">
        <v>5000</v>
      </c>
      <c r="O22" s="592"/>
      <c r="P22" s="592"/>
      <c r="Q22" s="592"/>
      <c r="R22" s="592"/>
      <c r="S22" s="592"/>
    </row>
    <row r="23" spans="1:19">
      <c r="A23" s="594" t="s">
        <v>20</v>
      </c>
      <c r="B23" s="591" t="str">
        <f>+'[11]Bieu 02. Chi tiet CĐNSĐP 2019'!B77</f>
        <v>Hơ Moong</v>
      </c>
      <c r="C23" s="592">
        <v>10</v>
      </c>
      <c r="D23" s="592">
        <f t="shared" si="3"/>
        <v>10</v>
      </c>
      <c r="E23" s="592"/>
      <c r="F23" s="592"/>
      <c r="G23" s="592"/>
      <c r="H23" s="592"/>
      <c r="I23" s="592"/>
      <c r="J23" s="592"/>
      <c r="K23" s="592"/>
      <c r="L23" s="592"/>
      <c r="M23" s="592"/>
      <c r="N23" s="592">
        <v>10</v>
      </c>
      <c r="O23" s="592"/>
      <c r="P23" s="592"/>
      <c r="Q23" s="592"/>
      <c r="R23" s="592"/>
      <c r="S23" s="592"/>
    </row>
    <row r="24" spans="1:19" ht="30">
      <c r="A24" s="590">
        <v>6</v>
      </c>
      <c r="B24" s="595" t="s">
        <v>333</v>
      </c>
      <c r="C24" s="592">
        <v>2421</v>
      </c>
      <c r="D24" s="592">
        <f t="shared" si="3"/>
        <v>2421</v>
      </c>
      <c r="E24" s="592"/>
      <c r="F24" s="592"/>
      <c r="G24" s="592"/>
      <c r="H24" s="592"/>
      <c r="I24" s="592"/>
      <c r="J24" s="592"/>
      <c r="K24" s="592"/>
      <c r="L24" s="592"/>
      <c r="M24" s="592"/>
      <c r="N24" s="592">
        <v>2421</v>
      </c>
      <c r="O24" s="592"/>
      <c r="P24" s="592"/>
      <c r="Q24" s="592"/>
      <c r="R24" s="592"/>
      <c r="S24" s="592"/>
    </row>
    <row r="25" spans="1:19" ht="30">
      <c r="A25" s="596">
        <v>7</v>
      </c>
      <c r="B25" s="597" t="s">
        <v>681</v>
      </c>
      <c r="C25" s="598">
        <v>5700</v>
      </c>
      <c r="D25" s="598">
        <f t="shared" si="3"/>
        <v>5700</v>
      </c>
      <c r="E25" s="598"/>
      <c r="F25" s="598"/>
      <c r="G25" s="598"/>
      <c r="H25" s="598">
        <v>5700</v>
      </c>
      <c r="I25" s="598"/>
      <c r="J25" s="598"/>
      <c r="K25" s="598"/>
      <c r="L25" s="598"/>
      <c r="M25" s="598"/>
      <c r="N25" s="598"/>
      <c r="O25" s="598"/>
      <c r="P25" s="598"/>
      <c r="Q25" s="598"/>
      <c r="R25" s="598"/>
      <c r="S25" s="598"/>
    </row>
    <row r="26" spans="1:19">
      <c r="A26" s="228"/>
    </row>
    <row r="27" spans="1:19">
      <c r="A27" s="228"/>
    </row>
    <row r="28" spans="1:19">
      <c r="A28" s="228"/>
    </row>
    <row r="29" spans="1:19">
      <c r="A29" s="228"/>
    </row>
    <row r="30" spans="1:19">
      <c r="A30" s="228"/>
    </row>
    <row r="31" spans="1:19">
      <c r="A31" s="228"/>
    </row>
    <row r="32" spans="1:19">
      <c r="A32" s="228"/>
    </row>
  </sheetData>
  <mergeCells count="22">
    <mergeCell ref="A1:B1"/>
    <mergeCell ref="N5:N6"/>
    <mergeCell ref="O5:P5"/>
    <mergeCell ref="Q5:Q6"/>
    <mergeCell ref="Q1:S1"/>
    <mergeCell ref="A2:S2"/>
    <mergeCell ref="K5:K6"/>
    <mergeCell ref="L5:L6"/>
    <mergeCell ref="R5:R6"/>
    <mergeCell ref="M5:M6"/>
    <mergeCell ref="S5:S6"/>
    <mergeCell ref="I5:I6"/>
    <mergeCell ref="J5:J6"/>
    <mergeCell ref="D5:D6"/>
    <mergeCell ref="E5:E6"/>
    <mergeCell ref="F5:F6"/>
    <mergeCell ref="A4:A6"/>
    <mergeCell ref="B4:B6"/>
    <mergeCell ref="C4:C6"/>
    <mergeCell ref="D4:S4"/>
    <mergeCell ref="G5:G6"/>
    <mergeCell ref="H5:H6"/>
  </mergeCells>
  <phoneticPr fontId="16" type="noConversion"/>
  <printOptions horizontalCentered="1"/>
  <pageMargins left="0.5" right="0.25" top="0.5" bottom="0.5" header="0.31496062992126" footer="0.196850393700787"/>
  <pageSetup paperSize="9" scale="7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view="pageBreakPreview" zoomScale="80" zoomScaleNormal="100" zoomScaleSheetLayoutView="80" workbookViewId="0">
      <pane xSplit="7" ySplit="6" topLeftCell="H58" activePane="bottomRight" state="frozen"/>
      <selection activeCell="I4" sqref="A4:XFD4"/>
      <selection pane="topRight" activeCell="I4" sqref="A4:XFD4"/>
      <selection pane="bottomLeft" activeCell="I4" sqref="A4:XFD4"/>
      <selection pane="bottomRight" activeCell="I4" sqref="A4:XFD4"/>
    </sheetView>
  </sheetViews>
  <sheetFormatPr defaultRowHeight="12.75"/>
  <cols>
    <col min="1" max="1" width="5" style="459" customWidth="1"/>
    <col min="2" max="2" width="25.85546875" style="459" customWidth="1"/>
    <col min="3" max="3" width="11.5703125" style="458" customWidth="1"/>
    <col min="4" max="4" width="11.85546875" style="458" customWidth="1"/>
    <col min="5" max="5" width="11.7109375" style="459" customWidth="1"/>
    <col min="6" max="6" width="8.140625" style="459" customWidth="1"/>
    <col min="7" max="7" width="9.28515625" style="459" customWidth="1"/>
    <col min="8" max="8" width="8.28515625" style="459" customWidth="1"/>
    <col min="9" max="9" width="7.7109375" style="459" customWidth="1"/>
    <col min="10" max="10" width="9.7109375" style="459" bestFit="1" customWidth="1"/>
    <col min="11" max="11" width="8.5703125" style="459" customWidth="1"/>
    <col min="12" max="12" width="9.28515625" style="459" bestFit="1" customWidth="1"/>
    <col min="13" max="13" width="9.7109375" style="459" bestFit="1" customWidth="1"/>
    <col min="14" max="14" width="10.28515625" style="459" customWidth="1"/>
    <col min="15" max="15" width="9" style="459" customWidth="1"/>
    <col min="16" max="16" width="8.85546875" style="459" customWidth="1"/>
    <col min="17" max="17" width="11.5703125" style="459" customWidth="1"/>
    <col min="18" max="18" width="9.42578125" style="459" customWidth="1"/>
    <col min="19" max="19" width="11" style="459" customWidth="1"/>
    <col min="20" max="16384" width="9.140625" style="459"/>
  </cols>
  <sheetData>
    <row r="1" spans="1:19">
      <c r="A1" s="793" t="s">
        <v>168</v>
      </c>
      <c r="B1" s="793"/>
      <c r="R1" s="599" t="s">
        <v>109</v>
      </c>
    </row>
    <row r="2" spans="1:19">
      <c r="A2" s="793" t="s">
        <v>395</v>
      </c>
      <c r="B2" s="793"/>
      <c r="C2" s="793"/>
      <c r="D2" s="793"/>
      <c r="E2" s="793"/>
      <c r="F2" s="793"/>
      <c r="G2" s="793"/>
      <c r="H2" s="793"/>
      <c r="I2" s="793"/>
      <c r="J2" s="793"/>
      <c r="K2" s="793"/>
      <c r="L2" s="793"/>
      <c r="M2" s="793"/>
      <c r="N2" s="793"/>
      <c r="O2" s="793"/>
      <c r="P2" s="793"/>
      <c r="Q2" s="793"/>
      <c r="R2" s="793"/>
      <c r="S2" s="793"/>
    </row>
    <row r="3" spans="1:19">
      <c r="A3" s="600"/>
      <c r="B3" s="460"/>
      <c r="E3" s="461"/>
      <c r="F3" s="460"/>
      <c r="G3" s="461"/>
      <c r="H3" s="461"/>
      <c r="O3" s="458"/>
      <c r="P3" s="462"/>
      <c r="R3" s="600" t="s">
        <v>38</v>
      </c>
    </row>
    <row r="4" spans="1:19">
      <c r="A4" s="790" t="s">
        <v>10</v>
      </c>
      <c r="B4" s="790" t="s">
        <v>48</v>
      </c>
      <c r="C4" s="791" t="s">
        <v>680</v>
      </c>
      <c r="D4" s="792" t="s">
        <v>654</v>
      </c>
      <c r="E4" s="792"/>
      <c r="F4" s="792"/>
      <c r="G4" s="792"/>
      <c r="H4" s="792"/>
      <c r="I4" s="792"/>
      <c r="J4" s="792"/>
      <c r="K4" s="792"/>
      <c r="L4" s="792"/>
      <c r="M4" s="792"/>
      <c r="N4" s="792"/>
      <c r="O4" s="792"/>
      <c r="P4" s="792"/>
      <c r="Q4" s="792"/>
      <c r="R4" s="792"/>
      <c r="S4" s="792"/>
    </row>
    <row r="5" spans="1:19" ht="15" customHeight="1">
      <c r="A5" s="790"/>
      <c r="B5" s="790"/>
      <c r="C5" s="791"/>
      <c r="D5" s="791" t="s">
        <v>653</v>
      </c>
      <c r="E5" s="790" t="s">
        <v>59</v>
      </c>
      <c r="F5" s="790" t="s">
        <v>60</v>
      </c>
      <c r="G5" s="790" t="s">
        <v>74</v>
      </c>
      <c r="H5" s="790" t="s">
        <v>75</v>
      </c>
      <c r="I5" s="790" t="s">
        <v>2</v>
      </c>
      <c r="J5" s="790" t="s">
        <v>76</v>
      </c>
      <c r="K5" s="790" t="s">
        <v>77</v>
      </c>
      <c r="L5" s="790" t="s">
        <v>78</v>
      </c>
      <c r="M5" s="790" t="s">
        <v>106</v>
      </c>
      <c r="N5" s="790" t="s">
        <v>80</v>
      </c>
      <c r="O5" s="790" t="s">
        <v>107</v>
      </c>
      <c r="P5" s="790"/>
      <c r="Q5" s="790" t="s">
        <v>91</v>
      </c>
      <c r="R5" s="790" t="s">
        <v>82</v>
      </c>
      <c r="S5" s="790" t="s">
        <v>92</v>
      </c>
    </row>
    <row r="6" spans="1:19" ht="118.5" customHeight="1">
      <c r="A6" s="790"/>
      <c r="B6" s="790"/>
      <c r="C6" s="791"/>
      <c r="D6" s="791"/>
      <c r="E6" s="790"/>
      <c r="F6" s="790"/>
      <c r="G6" s="790"/>
      <c r="H6" s="790"/>
      <c r="I6" s="790"/>
      <c r="J6" s="790"/>
      <c r="K6" s="790"/>
      <c r="L6" s="790"/>
      <c r="M6" s="790"/>
      <c r="N6" s="790"/>
      <c r="O6" s="601" t="s">
        <v>108</v>
      </c>
      <c r="P6" s="601" t="s">
        <v>110</v>
      </c>
      <c r="Q6" s="790"/>
      <c r="R6" s="790"/>
      <c r="S6" s="790"/>
    </row>
    <row r="7" spans="1:19">
      <c r="A7" s="602" t="s">
        <v>14</v>
      </c>
      <c r="B7" s="602" t="s">
        <v>15</v>
      </c>
      <c r="C7" s="603">
        <v>1</v>
      </c>
      <c r="D7" s="603">
        <v>2</v>
      </c>
      <c r="E7" s="603">
        <v>3</v>
      </c>
      <c r="F7" s="602">
        <v>4</v>
      </c>
      <c r="G7" s="602">
        <v>5</v>
      </c>
      <c r="H7" s="602">
        <v>6</v>
      </c>
      <c r="I7" s="602">
        <v>7</v>
      </c>
      <c r="J7" s="602">
        <v>8</v>
      </c>
      <c r="K7" s="602">
        <v>9</v>
      </c>
      <c r="L7" s="602">
        <v>10</v>
      </c>
      <c r="M7" s="602">
        <v>11</v>
      </c>
      <c r="N7" s="602">
        <v>12</v>
      </c>
      <c r="O7" s="602">
        <v>13</v>
      </c>
      <c r="P7" s="602">
        <v>14</v>
      </c>
      <c r="Q7" s="602">
        <v>15</v>
      </c>
      <c r="R7" s="602">
        <v>16</v>
      </c>
      <c r="S7" s="602">
        <v>17</v>
      </c>
    </row>
    <row r="8" spans="1:19">
      <c r="A8" s="604"/>
      <c r="B8" s="605" t="s">
        <v>53</v>
      </c>
      <c r="C8" s="606">
        <v>335917.74899999995</v>
      </c>
      <c r="D8" s="606">
        <f>D9+D24+D32+D41+D52+D64</f>
        <v>335917.75299999997</v>
      </c>
      <c r="E8" s="607">
        <f t="shared" ref="E8:S8" si="0">E9+E24+E32+E41+E52+E64</f>
        <v>194061.7</v>
      </c>
      <c r="F8" s="607">
        <f t="shared" si="0"/>
        <v>150</v>
      </c>
      <c r="G8" s="607">
        <f t="shared" si="0"/>
        <v>2272.893</v>
      </c>
      <c r="H8" s="607">
        <f t="shared" si="0"/>
        <v>1735</v>
      </c>
      <c r="I8" s="607">
        <f t="shared" si="0"/>
        <v>941</v>
      </c>
      <c r="J8" s="607">
        <f t="shared" si="0"/>
        <v>1451.31</v>
      </c>
      <c r="K8" s="607">
        <f t="shared" si="0"/>
        <v>902.18999999999994</v>
      </c>
      <c r="L8" s="607">
        <f t="shared" si="0"/>
        <v>347.7</v>
      </c>
      <c r="M8" s="607">
        <f t="shared" si="0"/>
        <v>5140.3999999999996</v>
      </c>
      <c r="N8" s="607">
        <f t="shared" si="0"/>
        <v>14375.912</v>
      </c>
      <c r="O8" s="607">
        <f t="shared" si="0"/>
        <v>7115.5</v>
      </c>
      <c r="P8" s="607">
        <f t="shared" si="0"/>
        <v>2145</v>
      </c>
      <c r="Q8" s="607">
        <f>Q9+Q24+Q32+Q41+Q52+Q64</f>
        <v>95643.867999999988</v>
      </c>
      <c r="R8" s="607">
        <f t="shared" si="0"/>
        <v>16254.78</v>
      </c>
      <c r="S8" s="607">
        <f t="shared" si="0"/>
        <v>2641</v>
      </c>
    </row>
    <row r="9" spans="1:19">
      <c r="A9" s="608" t="s">
        <v>16</v>
      </c>
      <c r="B9" s="609" t="s">
        <v>323</v>
      </c>
      <c r="C9" s="610">
        <v>230502.60499999998</v>
      </c>
      <c r="D9" s="610">
        <f>SUM(D10:D23)</f>
        <v>226831.65899999999</v>
      </c>
      <c r="E9" s="611">
        <f t="shared" ref="E9:S9" si="1">SUM(E10:E23)</f>
        <v>191934.98</v>
      </c>
      <c r="F9" s="611">
        <f t="shared" si="1"/>
        <v>150</v>
      </c>
      <c r="G9" s="611">
        <f t="shared" si="1"/>
        <v>0</v>
      </c>
      <c r="H9" s="611">
        <f t="shared" si="1"/>
        <v>0</v>
      </c>
      <c r="I9" s="611">
        <f t="shared" si="1"/>
        <v>941</v>
      </c>
      <c r="J9" s="611">
        <f t="shared" si="1"/>
        <v>190</v>
      </c>
      <c r="K9" s="611">
        <f t="shared" si="1"/>
        <v>0</v>
      </c>
      <c r="L9" s="611">
        <f t="shared" si="1"/>
        <v>0</v>
      </c>
      <c r="M9" s="611">
        <f t="shared" si="1"/>
        <v>50</v>
      </c>
      <c r="N9" s="611">
        <f t="shared" si="1"/>
        <v>1510</v>
      </c>
      <c r="O9" s="611">
        <f t="shared" si="1"/>
        <v>0</v>
      </c>
      <c r="P9" s="611">
        <f t="shared" si="1"/>
        <v>0</v>
      </c>
      <c r="Q9" s="611">
        <f t="shared" si="1"/>
        <v>15305.898999999996</v>
      </c>
      <c r="R9" s="611">
        <f t="shared" si="1"/>
        <v>16254.78</v>
      </c>
      <c r="S9" s="611">
        <f t="shared" si="1"/>
        <v>495</v>
      </c>
    </row>
    <row r="10" spans="1:19">
      <c r="A10" s="612">
        <v>1</v>
      </c>
      <c r="B10" s="613" t="s">
        <v>249</v>
      </c>
      <c r="C10" s="614">
        <v>6331.6819999999998</v>
      </c>
      <c r="D10" s="614">
        <f>SUM(E10:S10)-O10-P10</f>
        <v>5848.1219999999994</v>
      </c>
      <c r="E10" s="615"/>
      <c r="F10" s="615"/>
      <c r="G10" s="615"/>
      <c r="H10" s="615"/>
      <c r="I10" s="615"/>
      <c r="J10" s="615"/>
      <c r="K10" s="615"/>
      <c r="L10" s="615"/>
      <c r="M10" s="615"/>
      <c r="N10" s="615">
        <v>100</v>
      </c>
      <c r="O10" s="615"/>
      <c r="P10" s="615"/>
      <c r="Q10" s="615">
        <f>'biểu 35'!F11-'37'!N10</f>
        <v>5748.1219999999994</v>
      </c>
      <c r="R10" s="615"/>
      <c r="S10" s="615"/>
    </row>
    <row r="11" spans="1:19">
      <c r="A11" s="612">
        <v>2</v>
      </c>
      <c r="B11" s="613" t="s">
        <v>250</v>
      </c>
      <c r="C11" s="614">
        <v>962.80700000000002</v>
      </c>
      <c r="D11" s="614">
        <f t="shared" ref="D11:D22" si="2">SUM(E11:S11)-O11-P11</f>
        <v>944.40700000000004</v>
      </c>
      <c r="E11" s="615"/>
      <c r="F11" s="615"/>
      <c r="G11" s="615"/>
      <c r="H11" s="615"/>
      <c r="I11" s="615"/>
      <c r="J11" s="615"/>
      <c r="K11" s="615"/>
      <c r="L11" s="615"/>
      <c r="M11" s="615"/>
      <c r="N11" s="615"/>
      <c r="O11" s="615"/>
      <c r="P11" s="615"/>
      <c r="Q11" s="615">
        <f>'biểu 35'!F12</f>
        <v>944.40700000000004</v>
      </c>
      <c r="R11" s="615"/>
      <c r="S11" s="615"/>
    </row>
    <row r="12" spans="1:19">
      <c r="A12" s="612">
        <v>3</v>
      </c>
      <c r="B12" s="613" t="s">
        <v>251</v>
      </c>
      <c r="C12" s="614">
        <v>912.13</v>
      </c>
      <c r="D12" s="614">
        <f t="shared" si="2"/>
        <v>883.13</v>
      </c>
      <c r="E12" s="615"/>
      <c r="F12" s="615"/>
      <c r="G12" s="615"/>
      <c r="H12" s="615"/>
      <c r="I12" s="615"/>
      <c r="J12" s="615"/>
      <c r="K12" s="615"/>
      <c r="L12" s="615"/>
      <c r="M12" s="615"/>
      <c r="N12" s="615"/>
      <c r="O12" s="615"/>
      <c r="P12" s="615"/>
      <c r="Q12" s="615">
        <f>'biểu 35'!F13</f>
        <v>883.13</v>
      </c>
      <c r="R12" s="615"/>
      <c r="S12" s="615"/>
    </row>
    <row r="13" spans="1:19">
      <c r="A13" s="612">
        <v>4</v>
      </c>
      <c r="B13" s="613" t="s">
        <v>252</v>
      </c>
      <c r="C13" s="614">
        <v>2142.4580000000001</v>
      </c>
      <c r="D13" s="614">
        <f t="shared" si="2"/>
        <v>2085.2580000000003</v>
      </c>
      <c r="E13" s="615"/>
      <c r="F13" s="615">
        <v>150</v>
      </c>
      <c r="G13" s="615"/>
      <c r="H13" s="615"/>
      <c r="I13" s="615"/>
      <c r="J13" s="615"/>
      <c r="K13" s="615"/>
      <c r="L13" s="615"/>
      <c r="M13" s="615"/>
      <c r="N13" s="616">
        <f>150+1260</f>
        <v>1410</v>
      </c>
      <c r="O13" s="615"/>
      <c r="P13" s="615"/>
      <c r="Q13" s="615">
        <f>'biểu 35'!F14-'37'!N13-'37'!F13</f>
        <v>525.25800000000027</v>
      </c>
      <c r="R13" s="615"/>
      <c r="S13" s="615"/>
    </row>
    <row r="14" spans="1:19">
      <c r="A14" s="612">
        <v>5</v>
      </c>
      <c r="B14" s="613" t="s">
        <v>253</v>
      </c>
      <c r="C14" s="614">
        <v>1203.2909999999999</v>
      </c>
      <c r="D14" s="614">
        <f t="shared" si="2"/>
        <v>1162.5909999999999</v>
      </c>
      <c r="E14" s="615"/>
      <c r="F14" s="615"/>
      <c r="G14" s="615"/>
      <c r="H14" s="615"/>
      <c r="I14" s="615"/>
      <c r="J14" s="615"/>
      <c r="K14" s="615"/>
      <c r="L14" s="615"/>
      <c r="M14" s="615"/>
      <c r="N14" s="615"/>
      <c r="O14" s="615"/>
      <c r="P14" s="615"/>
      <c r="Q14" s="615">
        <f>'biểu 35'!F15</f>
        <v>1162.5909999999999</v>
      </c>
      <c r="R14" s="615"/>
      <c r="S14" s="615"/>
    </row>
    <row r="15" spans="1:19">
      <c r="A15" s="612">
        <v>6</v>
      </c>
      <c r="B15" s="613" t="s">
        <v>254</v>
      </c>
      <c r="C15" s="614">
        <v>195158.2</v>
      </c>
      <c r="D15" s="614">
        <f t="shared" si="2"/>
        <v>192752.5</v>
      </c>
      <c r="E15" s="616">
        <f>'biểu 35'!F33</f>
        <v>191843.98</v>
      </c>
      <c r="F15" s="615"/>
      <c r="G15" s="615"/>
      <c r="H15" s="615"/>
      <c r="I15" s="615"/>
      <c r="J15" s="615"/>
      <c r="K15" s="615"/>
      <c r="L15" s="615"/>
      <c r="M15" s="615"/>
      <c r="N15" s="615"/>
      <c r="O15" s="615"/>
      <c r="P15" s="615"/>
      <c r="Q15" s="615">
        <f>'biểu 35'!F16</f>
        <v>908.52</v>
      </c>
      <c r="R15" s="615"/>
      <c r="S15" s="615"/>
    </row>
    <row r="16" spans="1:19">
      <c r="A16" s="612">
        <v>7</v>
      </c>
      <c r="B16" s="613" t="s">
        <v>255</v>
      </c>
      <c r="C16" s="614">
        <v>439.96800000000002</v>
      </c>
      <c r="D16" s="614">
        <f t="shared" si="2"/>
        <v>422.96800000000002</v>
      </c>
      <c r="E16" s="615"/>
      <c r="F16" s="615"/>
      <c r="G16" s="615"/>
      <c r="H16" s="615"/>
      <c r="I16" s="615"/>
      <c r="J16" s="615"/>
      <c r="K16" s="615"/>
      <c r="L16" s="615"/>
      <c r="M16" s="615"/>
      <c r="N16" s="615"/>
      <c r="O16" s="615"/>
      <c r="P16" s="615"/>
      <c r="Q16" s="615">
        <f>'biểu 35'!F17</f>
        <v>422.96800000000002</v>
      </c>
      <c r="R16" s="615"/>
      <c r="S16" s="615"/>
    </row>
    <row r="17" spans="1:19">
      <c r="A17" s="612">
        <v>8</v>
      </c>
      <c r="B17" s="613" t="s">
        <v>256</v>
      </c>
      <c r="C17" s="614">
        <v>18066.7</v>
      </c>
      <c r="D17" s="614">
        <f t="shared" si="2"/>
        <v>17899.479999999996</v>
      </c>
      <c r="E17" s="615">
        <v>91</v>
      </c>
      <c r="F17" s="615"/>
      <c r="G17" s="615"/>
      <c r="H17" s="615"/>
      <c r="I17" s="615">
        <v>941</v>
      </c>
      <c r="J17" s="615"/>
      <c r="K17" s="615"/>
      <c r="L17" s="615"/>
      <c r="M17" s="615"/>
      <c r="N17" s="615"/>
      <c r="O17" s="615"/>
      <c r="P17" s="615"/>
      <c r="Q17" s="615">
        <f>'biểu 35'!F18-R17-I17-E17</f>
        <v>789.69999999999527</v>
      </c>
      <c r="R17" s="615">
        <v>16077.78</v>
      </c>
      <c r="S17" s="615"/>
    </row>
    <row r="18" spans="1:19">
      <c r="A18" s="612">
        <v>9</v>
      </c>
      <c r="B18" s="613" t="s">
        <v>257</v>
      </c>
      <c r="C18" s="614">
        <v>698.33999999999992</v>
      </c>
      <c r="D18" s="614">
        <f t="shared" si="2"/>
        <v>677.33999999999992</v>
      </c>
      <c r="E18" s="615"/>
      <c r="F18" s="615"/>
      <c r="G18" s="615"/>
      <c r="H18" s="615"/>
      <c r="I18" s="615"/>
      <c r="J18" s="615">
        <v>190</v>
      </c>
      <c r="K18" s="615"/>
      <c r="L18" s="615"/>
      <c r="M18" s="615"/>
      <c r="N18" s="615"/>
      <c r="O18" s="615"/>
      <c r="P18" s="615"/>
      <c r="Q18" s="615">
        <f>'biểu 35'!F19-J18</f>
        <v>487.33999999999992</v>
      </c>
      <c r="R18" s="615"/>
      <c r="S18" s="615"/>
    </row>
    <row r="19" spans="1:19" ht="25.5">
      <c r="A19" s="612">
        <v>10</v>
      </c>
      <c r="B19" s="613" t="s">
        <v>258</v>
      </c>
      <c r="C19" s="614">
        <v>1001.728</v>
      </c>
      <c r="D19" s="614">
        <f>SUM(E19:S19)-O19-P19</f>
        <v>756.92799999999988</v>
      </c>
      <c r="E19" s="615"/>
      <c r="F19" s="615"/>
      <c r="G19" s="615"/>
      <c r="H19" s="615"/>
      <c r="I19" s="615"/>
      <c r="J19" s="615"/>
      <c r="K19" s="615"/>
      <c r="L19" s="615"/>
      <c r="M19" s="615">
        <v>50</v>
      </c>
      <c r="N19" s="615"/>
      <c r="O19" s="615"/>
      <c r="P19" s="615"/>
      <c r="Q19" s="615">
        <f>'biểu 35'!F20-M19</f>
        <v>706.92799999999988</v>
      </c>
      <c r="R19" s="615"/>
      <c r="S19" s="615"/>
    </row>
    <row r="20" spans="1:19">
      <c r="A20" s="612">
        <v>11</v>
      </c>
      <c r="B20" s="613" t="s">
        <v>259</v>
      </c>
      <c r="C20" s="614">
        <v>2025.84</v>
      </c>
      <c r="D20" s="614">
        <f t="shared" si="2"/>
        <v>1904.24</v>
      </c>
      <c r="E20" s="615"/>
      <c r="F20" s="615"/>
      <c r="G20" s="615"/>
      <c r="H20" s="615"/>
      <c r="I20" s="615"/>
      <c r="J20" s="615"/>
      <c r="K20" s="615"/>
      <c r="L20" s="615"/>
      <c r="M20" s="615"/>
      <c r="N20" s="615"/>
      <c r="O20" s="615"/>
      <c r="P20" s="615"/>
      <c r="Q20" s="615">
        <f>'biểu 35'!F21-R20-S20</f>
        <v>1339.24</v>
      </c>
      <c r="R20" s="615">
        <v>70</v>
      </c>
      <c r="S20" s="615">
        <v>495</v>
      </c>
    </row>
    <row r="21" spans="1:19">
      <c r="A21" s="612">
        <v>12</v>
      </c>
      <c r="B21" s="613" t="s">
        <v>260</v>
      </c>
      <c r="C21" s="614">
        <v>909.27</v>
      </c>
      <c r="D21" s="614">
        <f>SUM(E21:S21)-O21-P21</f>
        <v>854.80399999999997</v>
      </c>
      <c r="E21" s="615"/>
      <c r="F21" s="615"/>
      <c r="G21" s="615"/>
      <c r="H21" s="615"/>
      <c r="I21" s="615"/>
      <c r="J21" s="615"/>
      <c r="K21" s="615"/>
      <c r="L21" s="615"/>
      <c r="M21" s="615"/>
      <c r="N21" s="615"/>
      <c r="O21" s="615"/>
      <c r="P21" s="615"/>
      <c r="Q21" s="615">
        <f>'biểu 35'!F22</f>
        <v>854.80399999999997</v>
      </c>
      <c r="R21" s="615"/>
      <c r="S21" s="615"/>
    </row>
    <row r="22" spans="1:19">
      <c r="A22" s="612">
        <v>13</v>
      </c>
      <c r="B22" s="613" t="s">
        <v>261</v>
      </c>
      <c r="C22" s="614">
        <v>650.19100000000003</v>
      </c>
      <c r="D22" s="614">
        <f t="shared" si="2"/>
        <v>639.89100000000008</v>
      </c>
      <c r="E22" s="615"/>
      <c r="F22" s="615"/>
      <c r="G22" s="615"/>
      <c r="H22" s="615"/>
      <c r="I22" s="615"/>
      <c r="J22" s="615"/>
      <c r="K22" s="615"/>
      <c r="L22" s="615"/>
      <c r="M22" s="615"/>
      <c r="N22" s="615"/>
      <c r="O22" s="615"/>
      <c r="P22" s="615"/>
      <c r="Q22" s="615">
        <f>'biểu 35'!F23-R22</f>
        <v>532.89100000000008</v>
      </c>
      <c r="R22" s="615">
        <v>107</v>
      </c>
      <c r="S22" s="615"/>
    </row>
    <row r="23" spans="1:19" hidden="1">
      <c r="A23" s="612"/>
      <c r="B23" s="613"/>
      <c r="C23" s="614">
        <v>0</v>
      </c>
      <c r="D23" s="614">
        <f t="shared" ref="D23" si="3">E23+F23+G23+H23+I23+J23+K23+L23+M23+N23+Q23+R23+S23</f>
        <v>0</v>
      </c>
      <c r="E23" s="615"/>
      <c r="F23" s="615"/>
      <c r="G23" s="615"/>
      <c r="H23" s="615"/>
      <c r="I23" s="615"/>
      <c r="J23" s="615"/>
      <c r="K23" s="615"/>
      <c r="L23" s="615"/>
      <c r="M23" s="615"/>
      <c r="N23" s="615"/>
      <c r="O23" s="615"/>
      <c r="P23" s="615"/>
      <c r="Q23" s="615"/>
      <c r="R23" s="615"/>
      <c r="S23" s="615"/>
    </row>
    <row r="24" spans="1:19">
      <c r="A24" s="608" t="s">
        <v>26</v>
      </c>
      <c r="B24" s="609" t="s">
        <v>262</v>
      </c>
      <c r="C24" s="610">
        <v>11479.66</v>
      </c>
      <c r="D24" s="610">
        <f t="shared" ref="D24:S24" si="4">SUM(D25:D31)</f>
        <v>11250.73</v>
      </c>
      <c r="E24" s="611">
        <f t="shared" si="4"/>
        <v>0</v>
      </c>
      <c r="F24" s="611">
        <f t="shared" si="4"/>
        <v>0</v>
      </c>
      <c r="G24" s="611">
        <f t="shared" si="4"/>
        <v>0</v>
      </c>
      <c r="H24" s="611">
        <f t="shared" si="4"/>
        <v>495</v>
      </c>
      <c r="I24" s="611">
        <f t="shared" si="4"/>
        <v>0</v>
      </c>
      <c r="J24" s="611">
        <f t="shared" si="4"/>
        <v>0</v>
      </c>
      <c r="K24" s="611">
        <f t="shared" si="4"/>
        <v>0</v>
      </c>
      <c r="L24" s="611">
        <f t="shared" si="4"/>
        <v>0</v>
      </c>
      <c r="M24" s="611">
        <f t="shared" si="4"/>
        <v>0</v>
      </c>
      <c r="N24" s="611">
        <f t="shared" si="4"/>
        <v>0</v>
      </c>
      <c r="O24" s="611">
        <f t="shared" si="4"/>
        <v>0</v>
      </c>
      <c r="P24" s="611">
        <f t="shared" si="4"/>
        <v>0</v>
      </c>
      <c r="Q24" s="611">
        <f t="shared" si="4"/>
        <v>10755.73</v>
      </c>
      <c r="R24" s="611">
        <f t="shared" si="4"/>
        <v>0</v>
      </c>
      <c r="S24" s="611">
        <f t="shared" si="4"/>
        <v>0</v>
      </c>
    </row>
    <row r="25" spans="1:19">
      <c r="A25" s="612">
        <v>1</v>
      </c>
      <c r="B25" s="613" t="s">
        <v>263</v>
      </c>
      <c r="C25" s="614">
        <v>8520.5519999999997</v>
      </c>
      <c r="D25" s="614">
        <f t="shared" ref="D25:D63" si="5">SUM(E25:S25)-O25-P25</f>
        <v>8303.5519999999997</v>
      </c>
      <c r="E25" s="615"/>
      <c r="F25" s="615"/>
      <c r="G25" s="615"/>
      <c r="H25" s="615">
        <v>495</v>
      </c>
      <c r="I25" s="615"/>
      <c r="J25" s="615"/>
      <c r="K25" s="615"/>
      <c r="L25" s="615"/>
      <c r="M25" s="615"/>
      <c r="N25" s="615"/>
      <c r="O25" s="615"/>
      <c r="P25" s="615"/>
      <c r="Q25" s="615">
        <f>'biểu 35'!F25-H25</f>
        <v>7808.5519999999997</v>
      </c>
      <c r="R25" s="615"/>
      <c r="S25" s="615"/>
    </row>
    <row r="26" spans="1:19">
      <c r="A26" s="612">
        <v>2</v>
      </c>
      <c r="B26" s="613" t="s">
        <v>264</v>
      </c>
      <c r="C26" s="614">
        <v>644.47400000000005</v>
      </c>
      <c r="D26" s="614">
        <f t="shared" si="5"/>
        <v>677.904</v>
      </c>
      <c r="E26" s="615"/>
      <c r="F26" s="615"/>
      <c r="G26" s="615"/>
      <c r="H26" s="615"/>
      <c r="I26" s="615"/>
      <c r="J26" s="615"/>
      <c r="K26" s="615"/>
      <c r="L26" s="615"/>
      <c r="M26" s="615"/>
      <c r="N26" s="615"/>
      <c r="O26" s="615"/>
      <c r="P26" s="615"/>
      <c r="Q26" s="615">
        <f>'biểu 35'!F26</f>
        <v>677.904</v>
      </c>
      <c r="R26" s="615"/>
      <c r="S26" s="615"/>
    </row>
    <row r="27" spans="1:19">
      <c r="A27" s="612">
        <v>3</v>
      </c>
      <c r="B27" s="613" t="s">
        <v>336</v>
      </c>
      <c r="C27" s="614">
        <v>699.55899999999997</v>
      </c>
      <c r="D27" s="614">
        <f t="shared" si="5"/>
        <v>651.43899999999996</v>
      </c>
      <c r="E27" s="615"/>
      <c r="F27" s="615"/>
      <c r="G27" s="615"/>
      <c r="H27" s="615"/>
      <c r="I27" s="615"/>
      <c r="J27" s="615"/>
      <c r="K27" s="615"/>
      <c r="L27" s="615"/>
      <c r="M27" s="615"/>
      <c r="N27" s="615"/>
      <c r="O27" s="615"/>
      <c r="P27" s="615"/>
      <c r="Q27" s="615">
        <f>'biểu 35'!F27</f>
        <v>651.43899999999996</v>
      </c>
      <c r="R27" s="615"/>
      <c r="S27" s="615"/>
    </row>
    <row r="28" spans="1:19">
      <c r="A28" s="612">
        <v>4</v>
      </c>
      <c r="B28" s="613" t="s">
        <v>266</v>
      </c>
      <c r="C28" s="614">
        <v>592.98800000000006</v>
      </c>
      <c r="D28" s="614">
        <f t="shared" si="5"/>
        <v>599.03800000000001</v>
      </c>
      <c r="E28" s="615"/>
      <c r="F28" s="615"/>
      <c r="G28" s="615"/>
      <c r="H28" s="615"/>
      <c r="I28" s="615"/>
      <c r="J28" s="615"/>
      <c r="K28" s="615"/>
      <c r="L28" s="615"/>
      <c r="M28" s="615"/>
      <c r="N28" s="615"/>
      <c r="O28" s="615"/>
      <c r="P28" s="615"/>
      <c r="Q28" s="615">
        <f>'biểu 35'!F28</f>
        <v>599.03800000000001</v>
      </c>
      <c r="R28" s="615"/>
      <c r="S28" s="615"/>
    </row>
    <row r="29" spans="1:19">
      <c r="A29" s="612">
        <v>5</v>
      </c>
      <c r="B29" s="613" t="s">
        <v>267</v>
      </c>
      <c r="C29" s="614">
        <v>465.2</v>
      </c>
      <c r="D29" s="614">
        <f t="shared" si="5"/>
        <v>483.71</v>
      </c>
      <c r="E29" s="615"/>
      <c r="F29" s="615"/>
      <c r="G29" s="615"/>
      <c r="H29" s="615"/>
      <c r="I29" s="615"/>
      <c r="J29" s="615"/>
      <c r="K29" s="615"/>
      <c r="L29" s="615"/>
      <c r="M29" s="615"/>
      <c r="N29" s="615"/>
      <c r="O29" s="615"/>
      <c r="P29" s="615"/>
      <c r="Q29" s="615">
        <f>'biểu 35'!F29</f>
        <v>483.71</v>
      </c>
      <c r="R29" s="615"/>
      <c r="S29" s="615"/>
    </row>
    <row r="30" spans="1:19">
      <c r="A30" s="612">
        <v>6</v>
      </c>
      <c r="B30" s="613" t="s">
        <v>268</v>
      </c>
      <c r="C30" s="614">
        <v>436.18700000000001</v>
      </c>
      <c r="D30" s="614">
        <f t="shared" si="5"/>
        <v>419.68700000000001</v>
      </c>
      <c r="E30" s="615"/>
      <c r="F30" s="615"/>
      <c r="G30" s="615"/>
      <c r="H30" s="615"/>
      <c r="I30" s="615"/>
      <c r="J30" s="615"/>
      <c r="K30" s="615"/>
      <c r="L30" s="615"/>
      <c r="M30" s="615"/>
      <c r="N30" s="615"/>
      <c r="O30" s="615"/>
      <c r="P30" s="615"/>
      <c r="Q30" s="615">
        <f>'biểu 35'!F30</f>
        <v>419.68700000000001</v>
      </c>
      <c r="R30" s="615"/>
      <c r="S30" s="615"/>
    </row>
    <row r="31" spans="1:19">
      <c r="A31" s="612">
        <v>7</v>
      </c>
      <c r="B31" s="613" t="s">
        <v>269</v>
      </c>
      <c r="C31" s="614">
        <v>120.7</v>
      </c>
      <c r="D31" s="614">
        <f t="shared" si="5"/>
        <v>115.4</v>
      </c>
      <c r="E31" s="615"/>
      <c r="F31" s="615"/>
      <c r="G31" s="615"/>
      <c r="H31" s="615"/>
      <c r="I31" s="615"/>
      <c r="J31" s="615"/>
      <c r="K31" s="615"/>
      <c r="L31" s="615"/>
      <c r="M31" s="615"/>
      <c r="N31" s="615"/>
      <c r="O31" s="615"/>
      <c r="P31" s="615"/>
      <c r="Q31" s="615">
        <f>'biểu 35'!F31</f>
        <v>115.4</v>
      </c>
      <c r="R31" s="615"/>
      <c r="S31" s="615"/>
    </row>
    <row r="32" spans="1:19">
      <c r="A32" s="608" t="s">
        <v>32</v>
      </c>
      <c r="B32" s="609" t="s">
        <v>272</v>
      </c>
      <c r="C32" s="610">
        <v>23831.932000000001</v>
      </c>
      <c r="D32" s="610">
        <f t="shared" ref="D32:S32" si="6">SUM(D33:D40)</f>
        <v>22594.232</v>
      </c>
      <c r="E32" s="611">
        <f t="shared" si="6"/>
        <v>2126.7199999999998</v>
      </c>
      <c r="F32" s="611">
        <f t="shared" si="6"/>
        <v>0</v>
      </c>
      <c r="G32" s="611">
        <f t="shared" si="6"/>
        <v>0</v>
      </c>
      <c r="H32" s="611">
        <f t="shared" si="6"/>
        <v>0</v>
      </c>
      <c r="I32" s="611">
        <f t="shared" si="6"/>
        <v>0</v>
      </c>
      <c r="J32" s="611">
        <f t="shared" si="6"/>
        <v>1261.31</v>
      </c>
      <c r="K32" s="611">
        <f t="shared" si="6"/>
        <v>902.18999999999994</v>
      </c>
      <c r="L32" s="611">
        <f t="shared" si="6"/>
        <v>347.7</v>
      </c>
      <c r="M32" s="611">
        <f t="shared" si="6"/>
        <v>5090.3999999999996</v>
      </c>
      <c r="N32" s="611">
        <f t="shared" si="6"/>
        <v>12865.912</v>
      </c>
      <c r="O32" s="611">
        <f t="shared" si="6"/>
        <v>7115.5</v>
      </c>
      <c r="P32" s="611">
        <f t="shared" si="6"/>
        <v>2145</v>
      </c>
      <c r="Q32" s="611">
        <f t="shared" si="6"/>
        <v>0</v>
      </c>
      <c r="R32" s="611">
        <f t="shared" si="6"/>
        <v>0</v>
      </c>
      <c r="S32" s="611">
        <f t="shared" si="6"/>
        <v>0</v>
      </c>
    </row>
    <row r="33" spans="1:19">
      <c r="A33" s="612">
        <v>1</v>
      </c>
      <c r="B33" s="613" t="s">
        <v>270</v>
      </c>
      <c r="C33" s="614">
        <v>802.71</v>
      </c>
      <c r="D33" s="614">
        <f t="shared" si="5"/>
        <v>789.31000000000006</v>
      </c>
      <c r="E33" s="615">
        <f>'biểu 35'!F34</f>
        <v>789.31000000000006</v>
      </c>
      <c r="F33" s="615"/>
      <c r="G33" s="615"/>
      <c r="H33" s="615"/>
      <c r="I33" s="615"/>
      <c r="J33" s="615"/>
      <c r="K33" s="615"/>
      <c r="L33" s="615"/>
      <c r="M33" s="615"/>
      <c r="N33" s="615"/>
      <c r="O33" s="615"/>
      <c r="P33" s="615"/>
      <c r="Q33" s="615"/>
      <c r="R33" s="615"/>
      <c r="S33" s="615"/>
    </row>
    <row r="34" spans="1:19" ht="29.25" customHeight="1">
      <c r="A34" s="612">
        <v>2</v>
      </c>
      <c r="B34" s="613" t="s">
        <v>337</v>
      </c>
      <c r="C34" s="614">
        <v>2613</v>
      </c>
      <c r="D34" s="614">
        <f t="shared" si="5"/>
        <v>2511.1999999999998</v>
      </c>
      <c r="E34" s="615"/>
      <c r="F34" s="615"/>
      <c r="G34" s="615"/>
      <c r="H34" s="615"/>
      <c r="I34" s="615"/>
      <c r="J34" s="615">
        <f>1456.81-150-36-9.5</f>
        <v>1261.31</v>
      </c>
      <c r="K34" s="615">
        <v>902.18999999999994</v>
      </c>
      <c r="L34" s="615">
        <v>347.7</v>
      </c>
      <c r="M34" s="615"/>
      <c r="N34" s="615"/>
      <c r="O34" s="615"/>
      <c r="P34" s="615"/>
      <c r="Q34" s="615"/>
      <c r="R34" s="615"/>
      <c r="S34" s="615"/>
    </row>
    <row r="35" spans="1:19">
      <c r="A35" s="612">
        <v>3</v>
      </c>
      <c r="B35" s="613" t="s">
        <v>273</v>
      </c>
      <c r="C35" s="614">
        <v>0</v>
      </c>
      <c r="D35" s="614">
        <f t="shared" si="5"/>
        <v>0</v>
      </c>
      <c r="E35" s="615"/>
      <c r="F35" s="615"/>
      <c r="G35" s="615"/>
      <c r="H35" s="615"/>
      <c r="I35" s="615"/>
      <c r="J35" s="615"/>
      <c r="K35" s="615"/>
      <c r="L35" s="615"/>
      <c r="M35" s="615"/>
      <c r="N35" s="615"/>
      <c r="O35" s="615"/>
      <c r="P35" s="615"/>
      <c r="Q35" s="615"/>
      <c r="R35" s="615"/>
      <c r="S35" s="615"/>
    </row>
    <row r="36" spans="1:19">
      <c r="A36" s="612">
        <v>4</v>
      </c>
      <c r="B36" s="613" t="s">
        <v>274</v>
      </c>
      <c r="C36" s="614">
        <v>1351.81</v>
      </c>
      <c r="D36" s="614">
        <f t="shared" si="5"/>
        <v>1337.4099999999999</v>
      </c>
      <c r="E36" s="615">
        <f>'biểu 35'!F35</f>
        <v>1337.4099999999999</v>
      </c>
      <c r="F36" s="615"/>
      <c r="G36" s="615"/>
      <c r="H36" s="615"/>
      <c r="I36" s="615"/>
      <c r="J36" s="615"/>
      <c r="K36" s="615"/>
      <c r="L36" s="615"/>
      <c r="M36" s="615"/>
      <c r="N36" s="615"/>
      <c r="O36" s="615"/>
      <c r="P36" s="615"/>
      <c r="Q36" s="615"/>
      <c r="R36" s="615"/>
      <c r="S36" s="615"/>
    </row>
    <row r="37" spans="1:19">
      <c r="A37" s="612">
        <v>5</v>
      </c>
      <c r="B37" s="613" t="s">
        <v>331</v>
      </c>
      <c r="C37" s="614">
        <v>2213.6219999999998</v>
      </c>
      <c r="D37" s="614">
        <f>SUM(E37:S37)-O37-P37</f>
        <v>2925.3220000000001</v>
      </c>
      <c r="E37" s="615"/>
      <c r="F37" s="615"/>
      <c r="G37" s="615"/>
      <c r="H37" s="615"/>
      <c r="I37" s="615"/>
      <c r="J37" s="615"/>
      <c r="K37" s="615"/>
      <c r="L37" s="615"/>
      <c r="M37" s="615"/>
      <c r="N37" s="615">
        <f>'biểu 35'!F37</f>
        <v>2925.3219999999997</v>
      </c>
      <c r="O37" s="615"/>
      <c r="P37" s="615">
        <f>2165-20</f>
        <v>2145</v>
      </c>
      <c r="Q37" s="615"/>
      <c r="R37" s="615"/>
      <c r="S37" s="615"/>
    </row>
    <row r="38" spans="1:19" ht="25.5">
      <c r="A38" s="612">
        <v>6</v>
      </c>
      <c r="B38" s="613" t="s">
        <v>330</v>
      </c>
      <c r="C38" s="614">
        <v>6949</v>
      </c>
      <c r="D38" s="614">
        <f t="shared" si="5"/>
        <v>6606.2</v>
      </c>
      <c r="E38" s="615"/>
      <c r="F38" s="615"/>
      <c r="G38" s="615"/>
      <c r="H38" s="615"/>
      <c r="I38" s="615"/>
      <c r="J38" s="615"/>
      <c r="K38" s="615"/>
      <c r="L38" s="615"/>
      <c r="M38" s="615">
        <f>'biểu 35'!F38-N38</f>
        <v>5090.3999999999996</v>
      </c>
      <c r="N38" s="615">
        <f>570+700+300-20-34.2</f>
        <v>1515.8</v>
      </c>
      <c r="O38" s="615"/>
      <c r="P38" s="615"/>
      <c r="Q38" s="615"/>
      <c r="R38" s="615"/>
      <c r="S38" s="615"/>
    </row>
    <row r="39" spans="1:19" ht="34.5" customHeight="1">
      <c r="A39" s="612">
        <v>7</v>
      </c>
      <c r="B39" s="613" t="s">
        <v>275</v>
      </c>
      <c r="C39" s="614">
        <v>7525</v>
      </c>
      <c r="D39" s="614">
        <f t="shared" si="5"/>
        <v>7115.5</v>
      </c>
      <c r="E39" s="615"/>
      <c r="F39" s="615"/>
      <c r="G39" s="615"/>
      <c r="H39" s="615"/>
      <c r="I39" s="615"/>
      <c r="J39" s="615"/>
      <c r="K39" s="615"/>
      <c r="L39" s="615"/>
      <c r="M39" s="615"/>
      <c r="N39" s="615">
        <f>O39</f>
        <v>7115.5</v>
      </c>
      <c r="O39" s="615">
        <v>7115.5</v>
      </c>
      <c r="P39" s="615"/>
      <c r="Q39" s="615"/>
      <c r="R39" s="615"/>
      <c r="S39" s="615"/>
    </row>
    <row r="40" spans="1:19" ht="66" customHeight="1">
      <c r="A40" s="612">
        <v>8</v>
      </c>
      <c r="B40" s="583" t="s">
        <v>652</v>
      </c>
      <c r="C40" s="614">
        <v>2376.79</v>
      </c>
      <c r="D40" s="614">
        <f t="shared" si="5"/>
        <v>1309.29</v>
      </c>
      <c r="E40" s="615"/>
      <c r="F40" s="615"/>
      <c r="G40" s="615"/>
      <c r="H40" s="615"/>
      <c r="I40" s="615"/>
      <c r="J40" s="615"/>
      <c r="K40" s="615"/>
      <c r="L40" s="615"/>
      <c r="M40" s="615"/>
      <c r="N40" s="615">
        <f>'biểu 35'!F41</f>
        <v>1309.29</v>
      </c>
      <c r="O40" s="615"/>
      <c r="P40" s="615"/>
      <c r="Q40" s="615"/>
      <c r="R40" s="615"/>
      <c r="S40" s="615"/>
    </row>
    <row r="41" spans="1:19">
      <c r="A41" s="608" t="s">
        <v>64</v>
      </c>
      <c r="B41" s="609" t="s">
        <v>280</v>
      </c>
      <c r="C41" s="610">
        <v>5652.7730000000001</v>
      </c>
      <c r="D41" s="610">
        <f>SUM(D42:D51)</f>
        <v>5658.893</v>
      </c>
      <c r="E41" s="611">
        <f t="shared" ref="E41:S41" si="7">SUM(E42:E51)</f>
        <v>0</v>
      </c>
      <c r="F41" s="611">
        <f t="shared" si="7"/>
        <v>0</v>
      </c>
      <c r="G41" s="611">
        <f t="shared" si="7"/>
        <v>2272.893</v>
      </c>
      <c r="H41" s="611">
        <f t="shared" si="7"/>
        <v>1240</v>
      </c>
      <c r="I41" s="611">
        <f t="shared" si="7"/>
        <v>0</v>
      </c>
      <c r="J41" s="611">
        <f t="shared" si="7"/>
        <v>0</v>
      </c>
      <c r="K41" s="611">
        <f t="shared" si="7"/>
        <v>0</v>
      </c>
      <c r="L41" s="611">
        <f t="shared" si="7"/>
        <v>0</v>
      </c>
      <c r="M41" s="611">
        <f t="shared" si="7"/>
        <v>0</v>
      </c>
      <c r="N41" s="611">
        <f t="shared" si="7"/>
        <v>0</v>
      </c>
      <c r="O41" s="611">
        <f t="shared" si="7"/>
        <v>0</v>
      </c>
      <c r="P41" s="611">
        <f t="shared" si="7"/>
        <v>0</v>
      </c>
      <c r="Q41" s="611">
        <f t="shared" si="7"/>
        <v>0</v>
      </c>
      <c r="R41" s="611">
        <f t="shared" si="7"/>
        <v>0</v>
      </c>
      <c r="S41" s="611">
        <f t="shared" si="7"/>
        <v>2146</v>
      </c>
    </row>
    <row r="42" spans="1:19">
      <c r="A42" s="612">
        <v>1</v>
      </c>
      <c r="B42" s="613" t="s">
        <v>281</v>
      </c>
      <c r="C42" s="614">
        <v>1240</v>
      </c>
      <c r="D42" s="614">
        <f t="shared" si="5"/>
        <v>1240</v>
      </c>
      <c r="E42" s="615"/>
      <c r="F42" s="615"/>
      <c r="G42" s="615"/>
      <c r="H42" s="615">
        <v>1240</v>
      </c>
      <c r="I42" s="615"/>
      <c r="J42" s="615"/>
      <c r="K42" s="615"/>
      <c r="L42" s="615"/>
      <c r="M42" s="615"/>
      <c r="N42" s="615"/>
      <c r="O42" s="615"/>
      <c r="P42" s="615"/>
      <c r="Q42" s="615"/>
      <c r="R42" s="615"/>
      <c r="S42" s="615"/>
    </row>
    <row r="43" spans="1:19">
      <c r="A43" s="612">
        <v>2</v>
      </c>
      <c r="B43" s="613" t="s">
        <v>282</v>
      </c>
      <c r="C43" s="614">
        <v>2266.7730000000001</v>
      </c>
      <c r="D43" s="614">
        <f t="shared" si="5"/>
        <v>2272.893</v>
      </c>
      <c r="E43" s="615"/>
      <c r="F43" s="615"/>
      <c r="G43" s="615">
        <f>2266.773+6.12</f>
        <v>2272.893</v>
      </c>
      <c r="H43" s="615"/>
      <c r="I43" s="615"/>
      <c r="J43" s="615"/>
      <c r="K43" s="615"/>
      <c r="L43" s="615"/>
      <c r="M43" s="615"/>
      <c r="N43" s="615"/>
      <c r="O43" s="615"/>
      <c r="P43" s="615"/>
      <c r="Q43" s="615"/>
      <c r="R43" s="615"/>
      <c r="S43" s="615"/>
    </row>
    <row r="44" spans="1:19">
      <c r="A44" s="612">
        <v>3</v>
      </c>
      <c r="B44" s="613" t="s">
        <v>283</v>
      </c>
      <c r="C44" s="614">
        <v>50</v>
      </c>
      <c r="D44" s="614">
        <f t="shared" si="5"/>
        <v>50</v>
      </c>
      <c r="E44" s="615"/>
      <c r="F44" s="615"/>
      <c r="G44" s="615"/>
      <c r="H44" s="615"/>
      <c r="I44" s="615"/>
      <c r="J44" s="615"/>
      <c r="K44" s="615"/>
      <c r="L44" s="615"/>
      <c r="M44" s="615"/>
      <c r="N44" s="615"/>
      <c r="O44" s="615"/>
      <c r="P44" s="615"/>
      <c r="Q44" s="615"/>
      <c r="R44" s="615"/>
      <c r="S44" s="615">
        <v>50</v>
      </c>
    </row>
    <row r="45" spans="1:19">
      <c r="A45" s="612">
        <v>4</v>
      </c>
      <c r="B45" s="613" t="s">
        <v>284</v>
      </c>
      <c r="C45" s="614">
        <v>30</v>
      </c>
      <c r="D45" s="614">
        <f t="shared" si="5"/>
        <v>30</v>
      </c>
      <c r="E45" s="615"/>
      <c r="F45" s="615"/>
      <c r="G45" s="615"/>
      <c r="H45" s="615"/>
      <c r="I45" s="615"/>
      <c r="J45" s="615"/>
      <c r="K45" s="615"/>
      <c r="L45" s="615"/>
      <c r="M45" s="615"/>
      <c r="N45" s="615"/>
      <c r="O45" s="615"/>
      <c r="P45" s="615"/>
      <c r="Q45" s="615"/>
      <c r="R45" s="615"/>
      <c r="S45" s="615">
        <v>30</v>
      </c>
    </row>
    <row r="46" spans="1:19">
      <c r="A46" s="612">
        <v>5</v>
      </c>
      <c r="B46" s="613" t="s">
        <v>285</v>
      </c>
      <c r="C46" s="614">
        <v>50</v>
      </c>
      <c r="D46" s="614">
        <f t="shared" si="5"/>
        <v>50</v>
      </c>
      <c r="E46" s="615"/>
      <c r="F46" s="615"/>
      <c r="G46" s="615"/>
      <c r="H46" s="615"/>
      <c r="I46" s="615"/>
      <c r="J46" s="615"/>
      <c r="K46" s="615"/>
      <c r="L46" s="615"/>
      <c r="M46" s="615"/>
      <c r="N46" s="615"/>
      <c r="O46" s="615"/>
      <c r="P46" s="615"/>
      <c r="Q46" s="615"/>
      <c r="R46" s="615"/>
      <c r="S46" s="615">
        <v>50</v>
      </c>
    </row>
    <row r="47" spans="1:19">
      <c r="A47" s="612">
        <v>6</v>
      </c>
      <c r="B47" s="613" t="s">
        <v>290</v>
      </c>
      <c r="C47" s="614">
        <v>370</v>
      </c>
      <c r="D47" s="614">
        <f t="shared" si="5"/>
        <v>370</v>
      </c>
      <c r="E47" s="615"/>
      <c r="F47" s="615"/>
      <c r="G47" s="615"/>
      <c r="H47" s="615"/>
      <c r="I47" s="615"/>
      <c r="J47" s="615"/>
      <c r="K47" s="615"/>
      <c r="L47" s="615"/>
      <c r="M47" s="615"/>
      <c r="N47" s="615"/>
      <c r="O47" s="615"/>
      <c r="P47" s="615"/>
      <c r="Q47" s="615"/>
      <c r="R47" s="615"/>
      <c r="S47" s="615">
        <v>370</v>
      </c>
    </row>
    <row r="48" spans="1:19">
      <c r="A48" s="612">
        <v>7</v>
      </c>
      <c r="B48" s="613" t="s">
        <v>286</v>
      </c>
      <c r="C48" s="614">
        <v>16</v>
      </c>
      <c r="D48" s="614">
        <f t="shared" si="5"/>
        <v>16</v>
      </c>
      <c r="E48" s="615"/>
      <c r="F48" s="615"/>
      <c r="G48" s="615"/>
      <c r="H48" s="615"/>
      <c r="I48" s="615"/>
      <c r="J48" s="615"/>
      <c r="K48" s="615"/>
      <c r="L48" s="615"/>
      <c r="M48" s="615"/>
      <c r="N48" s="615"/>
      <c r="O48" s="615"/>
      <c r="P48" s="615"/>
      <c r="Q48" s="615"/>
      <c r="R48" s="615"/>
      <c r="S48" s="615">
        <v>16</v>
      </c>
    </row>
    <row r="49" spans="1:19" ht="25.5">
      <c r="A49" s="612">
        <v>8</v>
      </c>
      <c r="B49" s="613" t="s">
        <v>332</v>
      </c>
      <c r="C49" s="614">
        <v>30</v>
      </c>
      <c r="D49" s="614">
        <f t="shared" si="5"/>
        <v>30</v>
      </c>
      <c r="E49" s="615"/>
      <c r="F49" s="615"/>
      <c r="G49" s="615"/>
      <c r="H49" s="615"/>
      <c r="I49" s="615"/>
      <c r="J49" s="615"/>
      <c r="K49" s="615"/>
      <c r="L49" s="615"/>
      <c r="M49" s="615"/>
      <c r="N49" s="615"/>
      <c r="O49" s="615"/>
      <c r="P49" s="615"/>
      <c r="Q49" s="615"/>
      <c r="R49" s="615"/>
      <c r="S49" s="615">
        <v>30</v>
      </c>
    </row>
    <row r="50" spans="1:19">
      <c r="A50" s="612">
        <v>9</v>
      </c>
      <c r="B50" s="613" t="s">
        <v>291</v>
      </c>
      <c r="C50" s="614">
        <v>1500</v>
      </c>
      <c r="D50" s="614">
        <f t="shared" ref="D50" si="8">SUM(E50:S50)-O50-P50</f>
        <v>1500</v>
      </c>
      <c r="E50" s="615"/>
      <c r="F50" s="615"/>
      <c r="G50" s="615"/>
      <c r="H50" s="615"/>
      <c r="I50" s="615"/>
      <c r="J50" s="615"/>
      <c r="K50" s="615"/>
      <c r="L50" s="615"/>
      <c r="M50" s="615"/>
      <c r="N50" s="615"/>
      <c r="O50" s="615"/>
      <c r="P50" s="615"/>
      <c r="Q50" s="615"/>
      <c r="R50" s="615"/>
      <c r="S50" s="615">
        <v>1500</v>
      </c>
    </row>
    <row r="51" spans="1:19" ht="38.25">
      <c r="A51" s="612">
        <v>10</v>
      </c>
      <c r="B51" s="618" t="s">
        <v>380</v>
      </c>
      <c r="C51" s="614">
        <v>100</v>
      </c>
      <c r="D51" s="614">
        <f t="shared" si="5"/>
        <v>100</v>
      </c>
      <c r="E51" s="615"/>
      <c r="F51" s="615"/>
      <c r="G51" s="615"/>
      <c r="H51" s="615"/>
      <c r="I51" s="615"/>
      <c r="J51" s="615"/>
      <c r="K51" s="615"/>
      <c r="L51" s="615"/>
      <c r="M51" s="615"/>
      <c r="N51" s="615"/>
      <c r="O51" s="615"/>
      <c r="P51" s="615"/>
      <c r="Q51" s="615"/>
      <c r="R51" s="615"/>
      <c r="S51" s="615">
        <f>100</f>
        <v>100</v>
      </c>
    </row>
    <row r="52" spans="1:19">
      <c r="A52" s="608" t="s">
        <v>66</v>
      </c>
      <c r="B52" s="609" t="s">
        <v>276</v>
      </c>
      <c r="C52" s="610">
        <v>59095.779000000002</v>
      </c>
      <c r="D52" s="610">
        <f>SUM(D53:D63)</f>
        <v>59320.739000000001</v>
      </c>
      <c r="E52" s="611">
        <f t="shared" ref="E52:S52" si="9">SUM(E53:E63)</f>
        <v>0</v>
      </c>
      <c r="F52" s="611">
        <f t="shared" si="9"/>
        <v>0</v>
      </c>
      <c r="G52" s="611">
        <f t="shared" si="9"/>
        <v>0</v>
      </c>
      <c r="H52" s="611">
        <f t="shared" si="9"/>
        <v>0</v>
      </c>
      <c r="I52" s="611">
        <f t="shared" si="9"/>
        <v>0</v>
      </c>
      <c r="J52" s="611">
        <f t="shared" si="9"/>
        <v>0</v>
      </c>
      <c r="K52" s="611">
        <f t="shared" si="9"/>
        <v>0</v>
      </c>
      <c r="L52" s="611">
        <f t="shared" si="9"/>
        <v>0</v>
      </c>
      <c r="M52" s="611">
        <f t="shared" si="9"/>
        <v>0</v>
      </c>
      <c r="N52" s="611">
        <f t="shared" si="9"/>
        <v>0</v>
      </c>
      <c r="O52" s="611">
        <f t="shared" si="9"/>
        <v>0</v>
      </c>
      <c r="P52" s="611">
        <f t="shared" si="9"/>
        <v>0</v>
      </c>
      <c r="Q52" s="611">
        <f>SUM(Q53:Q63)</f>
        <v>59320.739000000001</v>
      </c>
      <c r="R52" s="611">
        <f t="shared" si="9"/>
        <v>0</v>
      </c>
      <c r="S52" s="611">
        <f t="shared" si="9"/>
        <v>0</v>
      </c>
    </row>
    <row r="53" spans="1:19">
      <c r="A53" s="612">
        <v>1</v>
      </c>
      <c r="B53" s="613" t="s">
        <v>277</v>
      </c>
      <c r="C53" s="614">
        <v>4201.1980000000003</v>
      </c>
      <c r="D53" s="614">
        <f>SUM(E53:S53)-O53-P53</f>
        <v>4232.3180000000002</v>
      </c>
      <c r="E53" s="615"/>
      <c r="F53" s="615"/>
      <c r="G53" s="615"/>
      <c r="H53" s="615"/>
      <c r="I53" s="615"/>
      <c r="J53" s="615"/>
      <c r="K53" s="615"/>
      <c r="L53" s="615"/>
      <c r="M53" s="615"/>
      <c r="N53" s="615"/>
      <c r="O53" s="615"/>
      <c r="P53" s="615"/>
      <c r="Q53" s="615">
        <v>4232.3180000000002</v>
      </c>
      <c r="R53" s="615"/>
      <c r="S53" s="615"/>
    </row>
    <row r="54" spans="1:19">
      <c r="A54" s="612">
        <v>2</v>
      </c>
      <c r="B54" s="613" t="s">
        <v>159</v>
      </c>
      <c r="C54" s="614">
        <v>4266.1899999999996</v>
      </c>
      <c r="D54" s="614">
        <f t="shared" si="5"/>
        <v>4274.9399999999996</v>
      </c>
      <c r="E54" s="615"/>
      <c r="F54" s="615"/>
      <c r="G54" s="615"/>
      <c r="H54" s="615"/>
      <c r="I54" s="615"/>
      <c r="J54" s="615"/>
      <c r="K54" s="615"/>
      <c r="L54" s="615"/>
      <c r="M54" s="615"/>
      <c r="N54" s="615"/>
      <c r="O54" s="615"/>
      <c r="P54" s="615"/>
      <c r="Q54" s="615">
        <v>4274.9399999999996</v>
      </c>
      <c r="R54" s="615"/>
      <c r="S54" s="615"/>
    </row>
    <row r="55" spans="1:19">
      <c r="A55" s="612">
        <v>3</v>
      </c>
      <c r="B55" s="613" t="s">
        <v>160</v>
      </c>
      <c r="C55" s="614">
        <v>4336.9129999999996</v>
      </c>
      <c r="D55" s="614">
        <f t="shared" si="5"/>
        <v>4396.6229999999996</v>
      </c>
      <c r="E55" s="615"/>
      <c r="F55" s="615"/>
      <c r="G55" s="615"/>
      <c r="H55" s="615"/>
      <c r="I55" s="615"/>
      <c r="J55" s="615"/>
      <c r="K55" s="615"/>
      <c r="L55" s="615"/>
      <c r="M55" s="615"/>
      <c r="N55" s="615"/>
      <c r="O55" s="615"/>
      <c r="P55" s="615"/>
      <c r="Q55" s="615">
        <v>4396.6229999999996</v>
      </c>
      <c r="R55" s="615"/>
      <c r="S55" s="615"/>
    </row>
    <row r="56" spans="1:19">
      <c r="A56" s="612">
        <v>4</v>
      </c>
      <c r="B56" s="613" t="s">
        <v>158</v>
      </c>
      <c r="C56" s="614">
        <v>4261.2969999999996</v>
      </c>
      <c r="D56" s="614">
        <f t="shared" si="5"/>
        <v>4270.7969999999996</v>
      </c>
      <c r="E56" s="615"/>
      <c r="F56" s="615"/>
      <c r="G56" s="615"/>
      <c r="H56" s="615"/>
      <c r="I56" s="615"/>
      <c r="J56" s="615"/>
      <c r="K56" s="615"/>
      <c r="L56" s="615"/>
      <c r="M56" s="615"/>
      <c r="N56" s="615"/>
      <c r="O56" s="615"/>
      <c r="P56" s="615"/>
      <c r="Q56" s="615">
        <v>4270.7969999999996</v>
      </c>
      <c r="R56" s="615"/>
      <c r="S56" s="615"/>
    </row>
    <row r="57" spans="1:19">
      <c r="A57" s="612">
        <v>5</v>
      </c>
      <c r="B57" s="613" t="s">
        <v>161</v>
      </c>
      <c r="C57" s="614">
        <v>5420.5659999999998</v>
      </c>
      <c r="D57" s="614">
        <f t="shared" si="5"/>
        <v>5458.5159999999996</v>
      </c>
      <c r="E57" s="615"/>
      <c r="F57" s="615"/>
      <c r="G57" s="615"/>
      <c r="H57" s="615"/>
      <c r="I57" s="615"/>
      <c r="J57" s="615"/>
      <c r="K57" s="615"/>
      <c r="L57" s="615"/>
      <c r="M57" s="615"/>
      <c r="N57" s="615"/>
      <c r="O57" s="615"/>
      <c r="P57" s="615"/>
      <c r="Q57" s="615">
        <v>5458.5159999999996</v>
      </c>
      <c r="R57" s="615"/>
      <c r="S57" s="615"/>
    </row>
    <row r="58" spans="1:19">
      <c r="A58" s="612">
        <v>6</v>
      </c>
      <c r="B58" s="613" t="s">
        <v>162</v>
      </c>
      <c r="C58" s="614">
        <v>4695.3999999999996</v>
      </c>
      <c r="D58" s="614">
        <f t="shared" si="5"/>
        <v>4705.6799999999994</v>
      </c>
      <c r="E58" s="615"/>
      <c r="F58" s="615"/>
      <c r="G58" s="615"/>
      <c r="H58" s="615"/>
      <c r="I58" s="615"/>
      <c r="J58" s="615"/>
      <c r="K58" s="615"/>
      <c r="L58" s="615"/>
      <c r="M58" s="615"/>
      <c r="N58" s="615"/>
      <c r="O58" s="615"/>
      <c r="P58" s="615"/>
      <c r="Q58" s="615">
        <v>4705.6799999999994</v>
      </c>
      <c r="R58" s="615"/>
      <c r="S58" s="615"/>
    </row>
    <row r="59" spans="1:19">
      <c r="A59" s="612">
        <v>7</v>
      </c>
      <c r="B59" s="613" t="s">
        <v>278</v>
      </c>
      <c r="C59" s="614">
        <v>4615.9620000000004</v>
      </c>
      <c r="D59" s="614">
        <f t="shared" si="5"/>
        <v>4627.7320000000009</v>
      </c>
      <c r="E59" s="615"/>
      <c r="F59" s="615"/>
      <c r="G59" s="615"/>
      <c r="H59" s="615"/>
      <c r="I59" s="615"/>
      <c r="J59" s="615"/>
      <c r="K59" s="615"/>
      <c r="L59" s="615"/>
      <c r="M59" s="615"/>
      <c r="N59" s="615"/>
      <c r="O59" s="615"/>
      <c r="P59" s="615"/>
      <c r="Q59" s="615">
        <v>4627.7320000000009</v>
      </c>
      <c r="R59" s="615"/>
      <c r="S59" s="615"/>
    </row>
    <row r="60" spans="1:19">
      <c r="A60" s="612">
        <v>8</v>
      </c>
      <c r="B60" s="613" t="s">
        <v>163</v>
      </c>
      <c r="C60" s="614">
        <v>6714.96</v>
      </c>
      <c r="D60" s="614">
        <f t="shared" si="5"/>
        <v>6734.02</v>
      </c>
      <c r="E60" s="615"/>
      <c r="F60" s="615"/>
      <c r="G60" s="615"/>
      <c r="H60" s="615"/>
      <c r="I60" s="615"/>
      <c r="J60" s="615"/>
      <c r="K60" s="615"/>
      <c r="L60" s="615"/>
      <c r="M60" s="615"/>
      <c r="N60" s="615"/>
      <c r="O60" s="615"/>
      <c r="P60" s="615"/>
      <c r="Q60" s="615">
        <v>6734.02</v>
      </c>
      <c r="R60" s="615"/>
      <c r="S60" s="615"/>
    </row>
    <row r="61" spans="1:19">
      <c r="A61" s="612">
        <v>9</v>
      </c>
      <c r="B61" s="613" t="s">
        <v>167</v>
      </c>
      <c r="C61" s="614">
        <v>6889.616</v>
      </c>
      <c r="D61" s="614">
        <f t="shared" si="5"/>
        <v>6899.8959999999997</v>
      </c>
      <c r="E61" s="615"/>
      <c r="F61" s="615"/>
      <c r="G61" s="615"/>
      <c r="H61" s="615"/>
      <c r="I61" s="615"/>
      <c r="J61" s="615"/>
      <c r="K61" s="615"/>
      <c r="L61" s="615"/>
      <c r="M61" s="615"/>
      <c r="N61" s="615"/>
      <c r="O61" s="615"/>
      <c r="P61" s="615"/>
      <c r="Q61" s="615">
        <v>6899.8959999999997</v>
      </c>
      <c r="R61" s="615"/>
      <c r="S61" s="615"/>
    </row>
    <row r="62" spans="1:19">
      <c r="A62" s="612">
        <v>10</v>
      </c>
      <c r="B62" s="613" t="s">
        <v>165</v>
      </c>
      <c r="C62" s="614">
        <v>6521.451</v>
      </c>
      <c r="D62" s="614">
        <f t="shared" si="5"/>
        <v>6530.8710000000001</v>
      </c>
      <c r="E62" s="615"/>
      <c r="F62" s="615"/>
      <c r="G62" s="615"/>
      <c r="H62" s="615"/>
      <c r="I62" s="615"/>
      <c r="J62" s="615"/>
      <c r="K62" s="615"/>
      <c r="L62" s="615"/>
      <c r="M62" s="615"/>
      <c r="N62" s="615"/>
      <c r="O62" s="615"/>
      <c r="P62" s="615"/>
      <c r="Q62" s="615">
        <v>6530.8710000000001</v>
      </c>
      <c r="R62" s="615"/>
      <c r="S62" s="615"/>
    </row>
    <row r="63" spans="1:19">
      <c r="A63" s="612">
        <v>11</v>
      </c>
      <c r="B63" s="613" t="s">
        <v>166</v>
      </c>
      <c r="C63" s="614">
        <v>7172.2259999999997</v>
      </c>
      <c r="D63" s="614">
        <f t="shared" si="5"/>
        <v>7189.3459999999995</v>
      </c>
      <c r="E63" s="615"/>
      <c r="F63" s="615"/>
      <c r="G63" s="615"/>
      <c r="H63" s="615"/>
      <c r="I63" s="615"/>
      <c r="J63" s="615"/>
      <c r="K63" s="615"/>
      <c r="L63" s="615"/>
      <c r="M63" s="615"/>
      <c r="N63" s="615"/>
      <c r="O63" s="615"/>
      <c r="P63" s="615"/>
      <c r="Q63" s="615">
        <v>7189.3459999999995</v>
      </c>
      <c r="R63" s="615"/>
      <c r="S63" s="615"/>
    </row>
    <row r="64" spans="1:19" s="463" customFormat="1">
      <c r="A64" s="619" t="s">
        <v>64</v>
      </c>
      <c r="B64" s="620" t="s">
        <v>682</v>
      </c>
      <c r="C64" s="621">
        <v>5355</v>
      </c>
      <c r="D64" s="622">
        <f>Q64</f>
        <v>10261.5</v>
      </c>
      <c r="E64" s="622"/>
      <c r="F64" s="622"/>
      <c r="G64" s="622"/>
      <c r="H64" s="622"/>
      <c r="I64" s="622"/>
      <c r="J64" s="622"/>
      <c r="K64" s="622"/>
      <c r="L64" s="622"/>
      <c r="M64" s="622"/>
      <c r="N64" s="622"/>
      <c r="O64" s="622"/>
      <c r="P64" s="622"/>
      <c r="Q64" s="622">
        <f>'biểu 35'!J54</f>
        <v>10261.5</v>
      </c>
      <c r="R64" s="622"/>
      <c r="S64" s="622"/>
    </row>
    <row r="65" spans="1:17">
      <c r="A65" s="623"/>
      <c r="Q65" s="624"/>
    </row>
  </sheetData>
  <mergeCells count="21">
    <mergeCell ref="A1:B1"/>
    <mergeCell ref="F5:F6"/>
    <mergeCell ref="Q5:Q6"/>
    <mergeCell ref="R5:R6"/>
    <mergeCell ref="M5:M6"/>
    <mergeCell ref="K5:K6"/>
    <mergeCell ref="N5:N6"/>
    <mergeCell ref="O5:P5"/>
    <mergeCell ref="D5:D6"/>
    <mergeCell ref="E5:E6"/>
    <mergeCell ref="H5:H6"/>
    <mergeCell ref="I5:I6"/>
    <mergeCell ref="J5:J6"/>
    <mergeCell ref="A2:S2"/>
    <mergeCell ref="G5:G6"/>
    <mergeCell ref="L5:L6"/>
    <mergeCell ref="S5:S6"/>
    <mergeCell ref="A4:A6"/>
    <mergeCell ref="B4:B6"/>
    <mergeCell ref="C4:C6"/>
    <mergeCell ref="D4:S4"/>
  </mergeCells>
  <phoneticPr fontId="16" type="noConversion"/>
  <printOptions horizontalCentered="1"/>
  <pageMargins left="0.5" right="0.25" top="0.5" bottom="0.5" header="0.31496062992126" footer="0.31496062992126"/>
  <pageSetup paperSize="9" scale="7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opLeftCell="A2" workbookViewId="0">
      <pane xSplit="8" ySplit="6" topLeftCell="I32" activePane="bottomRight" state="frozen"/>
      <selection activeCell="I4" sqref="A4:XFD4"/>
      <selection pane="topRight" activeCell="I4" sqref="A4:XFD4"/>
      <selection pane="bottomLeft" activeCell="I4" sqref="A4:XFD4"/>
      <selection pane="bottomRight" activeCell="I4" sqref="A4:XFD4"/>
    </sheetView>
  </sheetViews>
  <sheetFormatPr defaultRowHeight="12.75"/>
  <cols>
    <col min="1" max="1" width="3.7109375" style="459" customWidth="1"/>
    <col min="2" max="2" width="14.7109375" style="459" customWidth="1"/>
    <col min="3" max="3" width="8.28515625" style="625" customWidth="1"/>
    <col min="4" max="4" width="10.140625" style="625" customWidth="1"/>
    <col min="5" max="5" width="9.42578125" style="625" customWidth="1"/>
    <col min="6" max="6" width="7.7109375" style="625" customWidth="1"/>
    <col min="7" max="8" width="8.140625" style="625" customWidth="1"/>
    <col min="9" max="9" width="9.5703125" style="625" customWidth="1"/>
    <col min="10" max="10" width="8.85546875" style="625" customWidth="1"/>
    <col min="11" max="11" width="6" style="625" customWidth="1"/>
    <col min="12" max="12" width="8.85546875" style="625" customWidth="1"/>
    <col min="13" max="13" width="9.7109375" style="625" customWidth="1"/>
    <col min="14" max="14" width="8.5703125" style="625" customWidth="1"/>
    <col min="15" max="15" width="8.42578125" style="625" customWidth="1"/>
    <col min="16" max="16" width="9.140625" style="625" customWidth="1"/>
    <col min="17" max="18" width="10.85546875" style="625" customWidth="1"/>
    <col min="19" max="19" width="13.42578125" style="459" bestFit="1" customWidth="1"/>
    <col min="20" max="16384" width="9.140625" style="459"/>
  </cols>
  <sheetData>
    <row r="1" spans="1:20">
      <c r="A1" s="793" t="s">
        <v>168</v>
      </c>
      <c r="B1" s="793"/>
      <c r="Q1" s="803" t="s">
        <v>112</v>
      </c>
      <c r="R1" s="803"/>
    </row>
    <row r="2" spans="1:20" ht="20.25" customHeight="1">
      <c r="A2" s="793" t="s">
        <v>647</v>
      </c>
      <c r="B2" s="793"/>
      <c r="C2" s="793"/>
      <c r="D2" s="793"/>
      <c r="E2" s="793"/>
      <c r="F2" s="793"/>
      <c r="G2" s="793"/>
      <c r="H2" s="793"/>
      <c r="I2" s="793"/>
      <c r="J2" s="793"/>
      <c r="K2" s="793"/>
      <c r="L2" s="793"/>
      <c r="M2" s="793"/>
      <c r="N2" s="793"/>
      <c r="O2" s="793"/>
      <c r="P2" s="793"/>
      <c r="Q2" s="793"/>
      <c r="R2" s="793"/>
    </row>
    <row r="3" spans="1:20">
      <c r="A3" s="600"/>
      <c r="P3" s="798" t="s">
        <v>38</v>
      </c>
      <c r="Q3" s="798"/>
      <c r="R3" s="798"/>
    </row>
    <row r="4" spans="1:20" s="626" customFormat="1" ht="31.5" customHeight="1">
      <c r="A4" s="794" t="s">
        <v>10</v>
      </c>
      <c r="B4" s="794" t="s">
        <v>48</v>
      </c>
      <c r="C4" s="800" t="s">
        <v>680</v>
      </c>
      <c r="D4" s="801"/>
      <c r="E4" s="801"/>
      <c r="F4" s="801"/>
      <c r="G4" s="802"/>
      <c r="H4" s="795" t="s">
        <v>653</v>
      </c>
      <c r="I4" s="796"/>
      <c r="J4" s="796"/>
      <c r="K4" s="796"/>
      <c r="L4" s="796"/>
      <c r="M4" s="796"/>
      <c r="N4" s="796"/>
      <c r="O4" s="796"/>
      <c r="P4" s="796"/>
      <c r="Q4" s="796"/>
      <c r="R4" s="797"/>
    </row>
    <row r="5" spans="1:20" s="626" customFormat="1" ht="12">
      <c r="A5" s="794"/>
      <c r="B5" s="794"/>
      <c r="C5" s="799" t="s">
        <v>49</v>
      </c>
      <c r="D5" s="799" t="s">
        <v>113</v>
      </c>
      <c r="E5" s="799" t="s">
        <v>115</v>
      </c>
      <c r="F5" s="799" t="s">
        <v>335</v>
      </c>
      <c r="G5" s="799" t="s">
        <v>117</v>
      </c>
      <c r="H5" s="799" t="s">
        <v>49</v>
      </c>
      <c r="I5" s="799" t="s">
        <v>113</v>
      </c>
      <c r="J5" s="804" t="s">
        <v>114</v>
      </c>
      <c r="K5" s="804"/>
      <c r="L5" s="804"/>
      <c r="M5" s="799" t="s">
        <v>115</v>
      </c>
      <c r="N5" s="799" t="s">
        <v>335</v>
      </c>
      <c r="O5" s="799" t="s">
        <v>334</v>
      </c>
      <c r="P5" s="799" t="s">
        <v>116</v>
      </c>
      <c r="Q5" s="799" t="s">
        <v>25</v>
      </c>
      <c r="R5" s="799" t="s">
        <v>117</v>
      </c>
    </row>
    <row r="6" spans="1:20" s="626" customFormat="1" ht="12">
      <c r="A6" s="794"/>
      <c r="B6" s="794"/>
      <c r="C6" s="799"/>
      <c r="D6" s="799"/>
      <c r="E6" s="799"/>
      <c r="F6" s="799"/>
      <c r="G6" s="799"/>
      <c r="H6" s="799"/>
      <c r="I6" s="799"/>
      <c r="J6" s="804" t="s">
        <v>118</v>
      </c>
      <c r="K6" s="804" t="s">
        <v>119</v>
      </c>
      <c r="L6" s="804"/>
      <c r="M6" s="799"/>
      <c r="N6" s="799"/>
      <c r="O6" s="799"/>
      <c r="P6" s="799"/>
      <c r="Q6" s="799"/>
      <c r="R6" s="799"/>
    </row>
    <row r="7" spans="1:20" s="626" customFormat="1" ht="45.75" customHeight="1">
      <c r="A7" s="794"/>
      <c r="B7" s="794"/>
      <c r="C7" s="799"/>
      <c r="D7" s="799"/>
      <c r="E7" s="799"/>
      <c r="F7" s="799"/>
      <c r="G7" s="799"/>
      <c r="H7" s="799"/>
      <c r="I7" s="799"/>
      <c r="J7" s="804"/>
      <c r="K7" s="627" t="s">
        <v>41</v>
      </c>
      <c r="L7" s="627" t="s">
        <v>120</v>
      </c>
      <c r="M7" s="799"/>
      <c r="N7" s="799"/>
      <c r="O7" s="799"/>
      <c r="P7" s="799"/>
      <c r="Q7" s="799"/>
      <c r="R7" s="799"/>
    </row>
    <row r="8" spans="1:20">
      <c r="A8" s="628" t="s">
        <v>14</v>
      </c>
      <c r="B8" s="628" t="s">
        <v>15</v>
      </c>
      <c r="C8" s="633">
        <v>1</v>
      </c>
      <c r="D8" s="633">
        <v>2</v>
      </c>
      <c r="E8" s="633">
        <v>3</v>
      </c>
      <c r="F8" s="633">
        <v>4</v>
      </c>
      <c r="G8" s="633">
        <v>5</v>
      </c>
      <c r="H8" s="633">
        <v>6</v>
      </c>
      <c r="I8" s="633">
        <v>7</v>
      </c>
      <c r="J8" s="633">
        <v>8</v>
      </c>
      <c r="K8" s="633">
        <v>9</v>
      </c>
      <c r="L8" s="633">
        <v>10</v>
      </c>
      <c r="M8" s="633">
        <v>11</v>
      </c>
      <c r="N8" s="633">
        <v>12</v>
      </c>
      <c r="O8" s="633">
        <v>13</v>
      </c>
      <c r="P8" s="633">
        <v>14</v>
      </c>
      <c r="Q8" s="633">
        <v>15</v>
      </c>
      <c r="R8" s="633">
        <v>16</v>
      </c>
    </row>
    <row r="9" spans="1:20" s="463" customFormat="1">
      <c r="A9" s="634"/>
      <c r="B9" s="635" t="s">
        <v>53</v>
      </c>
      <c r="C9" s="636">
        <f>SUM(C10:C20)</f>
        <v>216220</v>
      </c>
      <c r="D9" s="636">
        <f t="shared" ref="D9:F9" si="0">SUM(D10:D20)</f>
        <v>9929</v>
      </c>
      <c r="E9" s="636">
        <f t="shared" si="0"/>
        <v>59044.779000000002</v>
      </c>
      <c r="F9" s="636">
        <f t="shared" si="0"/>
        <v>51</v>
      </c>
      <c r="G9" s="636">
        <f>SUM(G10:G20)</f>
        <v>69024.778999999995</v>
      </c>
      <c r="H9" s="636">
        <f>SUM(H10:H20)</f>
        <v>216220</v>
      </c>
      <c r="I9" s="636">
        <f t="shared" ref="I9:R9" si="1">SUM(I10:I20)</f>
        <v>9929</v>
      </c>
      <c r="J9" s="636">
        <f t="shared" si="1"/>
        <v>9929</v>
      </c>
      <c r="K9" s="636">
        <f t="shared" si="1"/>
        <v>0</v>
      </c>
      <c r="L9" s="636">
        <f t="shared" si="1"/>
        <v>0</v>
      </c>
      <c r="M9" s="636">
        <f t="shared" si="1"/>
        <v>59269.739000000001</v>
      </c>
      <c r="N9" s="636">
        <f t="shared" si="1"/>
        <v>51</v>
      </c>
      <c r="O9" s="636">
        <f t="shared" si="1"/>
        <v>0</v>
      </c>
      <c r="P9" s="636">
        <f t="shared" si="1"/>
        <v>0</v>
      </c>
      <c r="Q9" s="636">
        <f t="shared" si="1"/>
        <v>0</v>
      </c>
      <c r="R9" s="636">
        <f t="shared" si="1"/>
        <v>69249.739000000001</v>
      </c>
      <c r="S9" s="629"/>
      <c r="T9" s="630"/>
    </row>
    <row r="10" spans="1:20" ht="19.5" customHeight="1">
      <c r="A10" s="637">
        <v>1</v>
      </c>
      <c r="B10" s="638" t="s">
        <v>157</v>
      </c>
      <c r="C10" s="639">
        <v>53446</v>
      </c>
      <c r="D10" s="639">
        <v>4211</v>
      </c>
      <c r="E10" s="639">
        <v>4201.1980000000003</v>
      </c>
      <c r="F10" s="639"/>
      <c r="G10" s="639">
        <f>E10+F10+D10</f>
        <v>8412.1980000000003</v>
      </c>
      <c r="H10" s="639">
        <v>53446</v>
      </c>
      <c r="I10" s="639">
        <v>4211</v>
      </c>
      <c r="J10" s="639">
        <v>4211</v>
      </c>
      <c r="K10" s="639"/>
      <c r="L10" s="639"/>
      <c r="M10" s="639">
        <f>'biểu 35'!D57</f>
        <v>4232.3180000000002</v>
      </c>
      <c r="N10" s="639"/>
      <c r="O10" s="639"/>
      <c r="P10" s="639"/>
      <c r="Q10" s="639"/>
      <c r="R10" s="639">
        <f>I10+M10+N10+O10+P10+Q10</f>
        <v>8443.3179999999993</v>
      </c>
      <c r="S10" s="462"/>
      <c r="T10" s="462"/>
    </row>
    <row r="11" spans="1:20" ht="19.5" customHeight="1">
      <c r="A11" s="637">
        <v>2</v>
      </c>
      <c r="B11" s="638" t="s">
        <v>158</v>
      </c>
      <c r="C11" s="639">
        <v>508</v>
      </c>
      <c r="D11" s="639">
        <v>38</v>
      </c>
      <c r="E11" s="639">
        <v>4261.2969999999996</v>
      </c>
      <c r="F11" s="639"/>
      <c r="G11" s="639">
        <f t="shared" ref="G11:G20" si="2">E11+F11+D11</f>
        <v>4299.2969999999996</v>
      </c>
      <c r="H11" s="639">
        <v>508</v>
      </c>
      <c r="I11" s="639">
        <v>38</v>
      </c>
      <c r="J11" s="639">
        <v>38</v>
      </c>
      <c r="K11" s="639"/>
      <c r="L11" s="639"/>
      <c r="M11" s="639">
        <f>'biểu 35'!D60</f>
        <v>4270.7969999999996</v>
      </c>
      <c r="N11" s="639"/>
      <c r="O11" s="639"/>
      <c r="P11" s="639"/>
      <c r="Q11" s="639"/>
      <c r="R11" s="639">
        <f t="shared" ref="R11:R20" si="3">I11+M11+N11+O11+P11+Q11</f>
        <v>4308.7969999999996</v>
      </c>
      <c r="T11" s="462"/>
    </row>
    <row r="12" spans="1:20" ht="19.5" customHeight="1">
      <c r="A12" s="637">
        <v>3</v>
      </c>
      <c r="B12" s="638" t="s">
        <v>159</v>
      </c>
      <c r="C12" s="639">
        <v>479</v>
      </c>
      <c r="D12" s="639">
        <v>54</v>
      </c>
      <c r="E12" s="639">
        <v>4266.1899999999996</v>
      </c>
      <c r="F12" s="639"/>
      <c r="G12" s="639">
        <f t="shared" si="2"/>
        <v>4320.1899999999996</v>
      </c>
      <c r="H12" s="639">
        <v>479</v>
      </c>
      <c r="I12" s="639">
        <v>54</v>
      </c>
      <c r="J12" s="639">
        <v>54</v>
      </c>
      <c r="K12" s="639"/>
      <c r="L12" s="639"/>
      <c r="M12" s="639">
        <f>'biểu 35'!D58</f>
        <v>4274.9399999999996</v>
      </c>
      <c r="N12" s="639"/>
      <c r="O12" s="639"/>
      <c r="P12" s="639"/>
      <c r="Q12" s="639"/>
      <c r="R12" s="639">
        <f t="shared" si="3"/>
        <v>4328.9399999999996</v>
      </c>
      <c r="T12" s="462"/>
    </row>
    <row r="13" spans="1:20" ht="19.5" customHeight="1">
      <c r="A13" s="637">
        <v>4</v>
      </c>
      <c r="B13" s="638" t="s">
        <v>160</v>
      </c>
      <c r="C13" s="639">
        <v>27301</v>
      </c>
      <c r="D13" s="639">
        <v>86</v>
      </c>
      <c r="E13" s="639">
        <v>4336.9129999999996</v>
      </c>
      <c r="F13" s="639"/>
      <c r="G13" s="639">
        <f t="shared" si="2"/>
        <v>4422.9129999999996</v>
      </c>
      <c r="H13" s="639">
        <v>27301</v>
      </c>
      <c r="I13" s="639">
        <v>86</v>
      </c>
      <c r="J13" s="639">
        <v>86</v>
      </c>
      <c r="K13" s="639"/>
      <c r="L13" s="639"/>
      <c r="M13" s="639">
        <f>'biểu 35'!D59</f>
        <v>4396.6229999999996</v>
      </c>
      <c r="N13" s="639"/>
      <c r="O13" s="639"/>
      <c r="P13" s="639"/>
      <c r="Q13" s="639"/>
      <c r="R13" s="639">
        <f t="shared" si="3"/>
        <v>4482.6229999999996</v>
      </c>
      <c r="T13" s="462"/>
    </row>
    <row r="14" spans="1:20" ht="19.5" customHeight="1">
      <c r="A14" s="637">
        <v>5</v>
      </c>
      <c r="B14" s="638" t="s">
        <v>161</v>
      </c>
      <c r="C14" s="639">
        <v>37151</v>
      </c>
      <c r="D14" s="639">
        <v>96</v>
      </c>
      <c r="E14" s="639">
        <v>5420.5659999999998</v>
      </c>
      <c r="F14" s="639"/>
      <c r="G14" s="639">
        <f t="shared" si="2"/>
        <v>5516.5659999999998</v>
      </c>
      <c r="H14" s="639">
        <v>37151</v>
      </c>
      <c r="I14" s="639">
        <v>96</v>
      </c>
      <c r="J14" s="639">
        <v>96</v>
      </c>
      <c r="K14" s="639"/>
      <c r="L14" s="639"/>
      <c r="M14" s="639">
        <f>'biểu 35'!D61</f>
        <v>5458.5159999999996</v>
      </c>
      <c r="N14" s="639"/>
      <c r="O14" s="639"/>
      <c r="P14" s="639"/>
      <c r="Q14" s="639"/>
      <c r="R14" s="639">
        <f t="shared" si="3"/>
        <v>5554.5159999999996</v>
      </c>
      <c r="T14" s="462"/>
    </row>
    <row r="15" spans="1:20" ht="19.5" customHeight="1">
      <c r="A15" s="637">
        <v>6</v>
      </c>
      <c r="B15" s="638" t="s">
        <v>162</v>
      </c>
      <c r="C15" s="639">
        <v>798</v>
      </c>
      <c r="D15" s="639">
        <v>88</v>
      </c>
      <c r="E15" s="639">
        <v>4695.3999999999996</v>
      </c>
      <c r="F15" s="639"/>
      <c r="G15" s="639">
        <f t="shared" si="2"/>
        <v>4783.3999999999996</v>
      </c>
      <c r="H15" s="639">
        <v>798</v>
      </c>
      <c r="I15" s="639">
        <v>88</v>
      </c>
      <c r="J15" s="639">
        <v>88</v>
      </c>
      <c r="K15" s="639"/>
      <c r="L15" s="639"/>
      <c r="M15" s="639">
        <f>'biểu 35'!D62</f>
        <v>4705.6799999999994</v>
      </c>
      <c r="N15" s="639"/>
      <c r="O15" s="639"/>
      <c r="P15" s="639"/>
      <c r="Q15" s="639"/>
      <c r="R15" s="639">
        <f t="shared" si="3"/>
        <v>4793.6799999999994</v>
      </c>
      <c r="T15" s="462"/>
    </row>
    <row r="16" spans="1:20" ht="19.5" customHeight="1">
      <c r="A16" s="637">
        <v>7</v>
      </c>
      <c r="B16" s="638" t="s">
        <v>163</v>
      </c>
      <c r="C16" s="639">
        <v>635</v>
      </c>
      <c r="D16" s="639">
        <v>75</v>
      </c>
      <c r="E16" s="639">
        <f>6714.96-F16</f>
        <v>6663.96</v>
      </c>
      <c r="F16" s="639">
        <v>51</v>
      </c>
      <c r="G16" s="639">
        <f t="shared" si="2"/>
        <v>6789.96</v>
      </c>
      <c r="H16" s="639">
        <v>635</v>
      </c>
      <c r="I16" s="639">
        <v>75</v>
      </c>
      <c r="J16" s="639">
        <v>75</v>
      </c>
      <c r="K16" s="639"/>
      <c r="L16" s="639"/>
      <c r="M16" s="639">
        <f>'biểu 35'!D64-51</f>
        <v>6683.02</v>
      </c>
      <c r="N16" s="639">
        <v>51</v>
      </c>
      <c r="O16" s="639"/>
      <c r="P16" s="639"/>
      <c r="Q16" s="639"/>
      <c r="R16" s="639">
        <f t="shared" si="3"/>
        <v>6809.02</v>
      </c>
      <c r="T16" s="462"/>
    </row>
    <row r="17" spans="1:20" ht="19.5" customHeight="1">
      <c r="A17" s="637">
        <v>8</v>
      </c>
      <c r="B17" s="638" t="s">
        <v>164</v>
      </c>
      <c r="C17" s="639">
        <v>106</v>
      </c>
      <c r="D17" s="639">
        <v>21</v>
      </c>
      <c r="E17" s="639">
        <v>4615.9620000000004</v>
      </c>
      <c r="F17" s="639"/>
      <c r="G17" s="639">
        <f t="shared" si="2"/>
        <v>4636.9620000000004</v>
      </c>
      <c r="H17" s="639">
        <v>106</v>
      </c>
      <c r="I17" s="639">
        <v>21</v>
      </c>
      <c r="J17" s="639">
        <v>21</v>
      </c>
      <c r="K17" s="639"/>
      <c r="L17" s="639"/>
      <c r="M17" s="639">
        <f>'biểu 35'!D63</f>
        <v>4627.7320000000009</v>
      </c>
      <c r="N17" s="639"/>
      <c r="O17" s="639"/>
      <c r="P17" s="639"/>
      <c r="Q17" s="639"/>
      <c r="R17" s="639">
        <f t="shared" si="3"/>
        <v>4648.7320000000009</v>
      </c>
      <c r="T17" s="462"/>
    </row>
    <row r="18" spans="1:20" ht="19.5" customHeight="1">
      <c r="A18" s="637">
        <v>9</v>
      </c>
      <c r="B18" s="638" t="s">
        <v>167</v>
      </c>
      <c r="C18" s="639">
        <v>490</v>
      </c>
      <c r="D18" s="639">
        <v>65</v>
      </c>
      <c r="E18" s="639">
        <v>6889.616</v>
      </c>
      <c r="F18" s="639"/>
      <c r="G18" s="639">
        <f t="shared" si="2"/>
        <v>6954.616</v>
      </c>
      <c r="H18" s="639">
        <v>490</v>
      </c>
      <c r="I18" s="639">
        <v>65</v>
      </c>
      <c r="J18" s="639">
        <v>65</v>
      </c>
      <c r="K18" s="639"/>
      <c r="L18" s="639"/>
      <c r="M18" s="639">
        <f>'biểu 35'!D65</f>
        <v>6899.8959999999997</v>
      </c>
      <c r="N18" s="639"/>
      <c r="O18" s="639"/>
      <c r="P18" s="639"/>
      <c r="Q18" s="639"/>
      <c r="R18" s="639">
        <f t="shared" si="3"/>
        <v>6964.8959999999997</v>
      </c>
      <c r="T18" s="462"/>
    </row>
    <row r="19" spans="1:20" ht="19.5" customHeight="1">
      <c r="A19" s="637">
        <v>10</v>
      </c>
      <c r="B19" s="638" t="s">
        <v>165</v>
      </c>
      <c r="C19" s="639">
        <v>19520</v>
      </c>
      <c r="D19" s="639">
        <v>80</v>
      </c>
      <c r="E19" s="639">
        <v>6521.451</v>
      </c>
      <c r="F19" s="639"/>
      <c r="G19" s="639">
        <f t="shared" si="2"/>
        <v>6601.451</v>
      </c>
      <c r="H19" s="639">
        <v>19520</v>
      </c>
      <c r="I19" s="639">
        <v>80</v>
      </c>
      <c r="J19" s="639">
        <v>80</v>
      </c>
      <c r="K19" s="639"/>
      <c r="L19" s="639"/>
      <c r="M19" s="639">
        <f>'biểu 35'!D66</f>
        <v>6530.8710000000001</v>
      </c>
      <c r="N19" s="639"/>
      <c r="O19" s="639"/>
      <c r="P19" s="639"/>
      <c r="Q19" s="639"/>
      <c r="R19" s="639">
        <f t="shared" si="3"/>
        <v>6610.8710000000001</v>
      </c>
      <c r="T19" s="462"/>
    </row>
    <row r="20" spans="1:20" ht="19.5" customHeight="1">
      <c r="A20" s="640">
        <v>11</v>
      </c>
      <c r="B20" s="641" t="s">
        <v>166</v>
      </c>
      <c r="C20" s="642">
        <v>75786</v>
      </c>
      <c r="D20" s="642">
        <v>5115</v>
      </c>
      <c r="E20" s="642">
        <v>7172.2259999999997</v>
      </c>
      <c r="F20" s="642"/>
      <c r="G20" s="642">
        <f t="shared" si="2"/>
        <v>12287.225999999999</v>
      </c>
      <c r="H20" s="642">
        <v>75786</v>
      </c>
      <c r="I20" s="642">
        <v>5115</v>
      </c>
      <c r="J20" s="642">
        <v>5115</v>
      </c>
      <c r="K20" s="642"/>
      <c r="L20" s="642"/>
      <c r="M20" s="642">
        <f>'biểu 35'!D67</f>
        <v>7189.3459999999995</v>
      </c>
      <c r="N20" s="642"/>
      <c r="O20" s="642"/>
      <c r="P20" s="642"/>
      <c r="Q20" s="642"/>
      <c r="R20" s="642">
        <f t="shared" si="3"/>
        <v>12304.346</v>
      </c>
      <c r="T20" s="462"/>
    </row>
    <row r="21" spans="1:20">
      <c r="A21" s="623"/>
    </row>
    <row r="22" spans="1:20">
      <c r="A22" s="623"/>
    </row>
    <row r="23" spans="1:20">
      <c r="A23" s="623"/>
    </row>
    <row r="24" spans="1:20">
      <c r="A24" s="623"/>
    </row>
    <row r="25" spans="1:20">
      <c r="A25" s="623"/>
    </row>
    <row r="26" spans="1:20">
      <c r="A26" s="623"/>
    </row>
    <row r="27" spans="1:20">
      <c r="A27" s="623"/>
    </row>
    <row r="28" spans="1:20">
      <c r="A28" s="623"/>
    </row>
  </sheetData>
  <mergeCells count="24">
    <mergeCell ref="Q1:R1"/>
    <mergeCell ref="A1:B1"/>
    <mergeCell ref="A2:R2"/>
    <mergeCell ref="H5:H7"/>
    <mergeCell ref="R5:R7"/>
    <mergeCell ref="J6:J7"/>
    <mergeCell ref="K6:L6"/>
    <mergeCell ref="M5:M7"/>
    <mergeCell ref="P5:P7"/>
    <mergeCell ref="I5:I7"/>
    <mergeCell ref="J5:L5"/>
    <mergeCell ref="Q5:Q7"/>
    <mergeCell ref="O5:O7"/>
    <mergeCell ref="N5:N7"/>
    <mergeCell ref="C5:C7"/>
    <mergeCell ref="D5:D7"/>
    <mergeCell ref="B4:B7"/>
    <mergeCell ref="H4:R4"/>
    <mergeCell ref="P3:R3"/>
    <mergeCell ref="A4:A7"/>
    <mergeCell ref="E5:E7"/>
    <mergeCell ref="F5:F7"/>
    <mergeCell ref="G5:G7"/>
    <mergeCell ref="C4:G4"/>
  </mergeCells>
  <phoneticPr fontId="16" type="noConversion"/>
  <pageMargins left="0.5" right="0.25" top="0.5" bottom="0.5" header="0.31496062992126" footer="0.31496062992126"/>
  <pageSetup paperSize="9" scale="85"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view="pageBreakPreview" topLeftCell="A2" zoomScale="90" zoomScaleNormal="100" zoomScaleSheetLayoutView="90" workbookViewId="0">
      <pane xSplit="5" ySplit="7" topLeftCell="F81" activePane="bottomRight" state="frozen"/>
      <selection activeCell="I4" sqref="A4:XFD4"/>
      <selection pane="topRight" activeCell="I4" sqref="A4:XFD4"/>
      <selection pane="bottomLeft" activeCell="I4" sqref="A4:XFD4"/>
      <selection pane="bottomRight" activeCell="I4" sqref="A4:XFD4"/>
    </sheetView>
  </sheetViews>
  <sheetFormatPr defaultRowHeight="12.75"/>
  <cols>
    <col min="1" max="1" width="4.42578125" style="459" customWidth="1"/>
    <col min="2" max="2" width="22.85546875" style="459" customWidth="1"/>
    <col min="3" max="4" width="11.28515625" style="458" bestFit="1" customWidth="1"/>
    <col min="5" max="5" width="11.5703125" style="459" bestFit="1" customWidth="1"/>
    <col min="6" max="6" width="9.42578125" style="459" bestFit="1" customWidth="1"/>
    <col min="7" max="7" width="8.85546875" style="459" customWidth="1"/>
    <col min="8" max="8" width="8.140625" style="459" customWidth="1"/>
    <col min="9" max="11" width="9.42578125" style="459" bestFit="1" customWidth="1"/>
    <col min="12" max="12" width="11.7109375" style="459" customWidth="1"/>
    <col min="13" max="13" width="9.85546875" style="459" customWidth="1"/>
    <col min="14" max="14" width="9.42578125" style="459" bestFit="1" customWidth="1"/>
    <col min="15" max="15" width="9.28515625" style="459" hidden="1" customWidth="1"/>
    <col min="16" max="16" width="8.7109375" style="459" customWidth="1"/>
    <col min="17" max="17" width="9.42578125" style="459" bestFit="1" customWidth="1"/>
    <col min="18" max="18" width="8" style="459" customWidth="1"/>
    <col min="19" max="19" width="9.42578125" style="459" customWidth="1"/>
    <col min="20" max="20" width="9.42578125" style="459" bestFit="1" customWidth="1"/>
    <col min="21" max="21" width="9.85546875" style="459" bestFit="1" customWidth="1"/>
    <col min="22" max="22" width="7.7109375" style="459" customWidth="1"/>
    <col min="23" max="16384" width="9.140625" style="459"/>
  </cols>
  <sheetData>
    <row r="1" spans="1:22">
      <c r="A1" s="793" t="s">
        <v>168</v>
      </c>
      <c r="B1" s="793"/>
      <c r="T1" s="599" t="s">
        <v>123</v>
      </c>
    </row>
    <row r="2" spans="1:22" ht="15.75" customHeight="1">
      <c r="A2" s="793" t="s">
        <v>396</v>
      </c>
      <c r="B2" s="793"/>
      <c r="C2" s="793"/>
      <c r="D2" s="793"/>
      <c r="E2" s="793"/>
      <c r="F2" s="793"/>
      <c r="G2" s="793"/>
      <c r="H2" s="793"/>
      <c r="I2" s="793"/>
      <c r="J2" s="793"/>
      <c r="K2" s="793"/>
      <c r="L2" s="793"/>
      <c r="M2" s="793"/>
      <c r="N2" s="793"/>
      <c r="O2" s="793"/>
      <c r="P2" s="793"/>
      <c r="Q2" s="793"/>
      <c r="R2" s="793"/>
      <c r="S2" s="793"/>
      <c r="T2" s="793"/>
      <c r="U2" s="793"/>
      <c r="V2" s="793"/>
    </row>
    <row r="3" spans="1:22" ht="15" customHeight="1">
      <c r="E3" s="643"/>
      <c r="F3" s="644"/>
      <c r="L3" s="461"/>
      <c r="M3" s="461"/>
      <c r="R3" s="461"/>
      <c r="S3" s="461"/>
      <c r="U3" s="600" t="s">
        <v>38</v>
      </c>
    </row>
    <row r="4" spans="1:22" ht="15" customHeight="1">
      <c r="A4" s="805" t="s">
        <v>10</v>
      </c>
      <c r="B4" s="805" t="s">
        <v>111</v>
      </c>
      <c r="C4" s="807" t="s">
        <v>680</v>
      </c>
      <c r="D4" s="808" t="s">
        <v>653</v>
      </c>
      <c r="E4" s="808"/>
      <c r="F4" s="808"/>
      <c r="G4" s="808"/>
      <c r="H4" s="808"/>
      <c r="I4" s="808"/>
      <c r="J4" s="808"/>
      <c r="K4" s="808"/>
      <c r="L4" s="808"/>
      <c r="M4" s="808"/>
      <c r="N4" s="808"/>
      <c r="O4" s="808"/>
      <c r="P4" s="808"/>
      <c r="Q4" s="808"/>
      <c r="R4" s="808"/>
      <c r="S4" s="808"/>
      <c r="T4" s="808"/>
      <c r="U4" s="808"/>
      <c r="V4" s="808"/>
    </row>
    <row r="5" spans="1:22" ht="18" customHeight="1">
      <c r="A5" s="805"/>
      <c r="B5" s="805"/>
      <c r="C5" s="807"/>
      <c r="D5" s="807" t="s">
        <v>124</v>
      </c>
      <c r="E5" s="805" t="s">
        <v>125</v>
      </c>
      <c r="F5" s="805"/>
      <c r="G5" s="805"/>
      <c r="H5" s="805"/>
      <c r="I5" s="805"/>
      <c r="J5" s="805"/>
      <c r="K5" s="805"/>
      <c r="L5" s="805"/>
      <c r="M5" s="805"/>
      <c r="N5" s="805"/>
      <c r="O5" s="805"/>
      <c r="P5" s="805"/>
      <c r="Q5" s="805"/>
      <c r="R5" s="805" t="s">
        <v>126</v>
      </c>
      <c r="S5" s="805"/>
      <c r="T5" s="805"/>
      <c r="U5" s="805"/>
      <c r="V5" s="805" t="s">
        <v>31</v>
      </c>
    </row>
    <row r="6" spans="1:22" ht="11.25" customHeight="1">
      <c r="A6" s="805"/>
      <c r="B6" s="805"/>
      <c r="C6" s="807"/>
      <c r="D6" s="807"/>
      <c r="E6" s="806" t="s">
        <v>41</v>
      </c>
      <c r="F6" s="806" t="s">
        <v>98</v>
      </c>
      <c r="G6" s="806"/>
      <c r="H6" s="806"/>
      <c r="I6" s="806"/>
      <c r="J6" s="806"/>
      <c r="K6" s="806"/>
      <c r="L6" s="806" t="s">
        <v>85</v>
      </c>
      <c r="M6" s="806"/>
      <c r="N6" s="806"/>
      <c r="O6" s="806" t="s">
        <v>127</v>
      </c>
      <c r="P6" s="806" t="s">
        <v>67</v>
      </c>
      <c r="Q6" s="806" t="s">
        <v>128</v>
      </c>
      <c r="R6" s="806" t="s">
        <v>41</v>
      </c>
      <c r="S6" s="806" t="s">
        <v>129</v>
      </c>
      <c r="T6" s="806" t="s">
        <v>130</v>
      </c>
      <c r="U6" s="806" t="s">
        <v>131</v>
      </c>
      <c r="V6" s="805"/>
    </row>
    <row r="7" spans="1:22">
      <c r="A7" s="805"/>
      <c r="B7" s="805"/>
      <c r="C7" s="807"/>
      <c r="D7" s="807"/>
      <c r="E7" s="806"/>
      <c r="F7" s="806" t="s">
        <v>41</v>
      </c>
      <c r="G7" s="806" t="s">
        <v>107</v>
      </c>
      <c r="H7" s="806"/>
      <c r="I7" s="806" t="s">
        <v>132</v>
      </c>
      <c r="J7" s="806" t="s">
        <v>133</v>
      </c>
      <c r="K7" s="806" t="s">
        <v>134</v>
      </c>
      <c r="L7" s="806" t="s">
        <v>41</v>
      </c>
      <c r="M7" s="806" t="s">
        <v>107</v>
      </c>
      <c r="N7" s="806"/>
      <c r="O7" s="806"/>
      <c r="P7" s="806"/>
      <c r="Q7" s="806"/>
      <c r="R7" s="806"/>
      <c r="S7" s="806"/>
      <c r="T7" s="806"/>
      <c r="U7" s="806"/>
      <c r="V7" s="805"/>
    </row>
    <row r="8" spans="1:22" ht="49.5" customHeight="1">
      <c r="A8" s="805"/>
      <c r="B8" s="805"/>
      <c r="C8" s="807"/>
      <c r="D8" s="807"/>
      <c r="E8" s="806"/>
      <c r="F8" s="806"/>
      <c r="G8" s="645" t="s">
        <v>135</v>
      </c>
      <c r="H8" s="645" t="s">
        <v>60</v>
      </c>
      <c r="I8" s="806"/>
      <c r="J8" s="806"/>
      <c r="K8" s="806"/>
      <c r="L8" s="806"/>
      <c r="M8" s="645" t="s">
        <v>135</v>
      </c>
      <c r="N8" s="645" t="s">
        <v>136</v>
      </c>
      <c r="O8" s="806"/>
      <c r="P8" s="806"/>
      <c r="Q8" s="806"/>
      <c r="R8" s="806"/>
      <c r="S8" s="806"/>
      <c r="T8" s="806"/>
      <c r="U8" s="806"/>
      <c r="V8" s="805"/>
    </row>
    <row r="9" spans="1:22" ht="15.75" customHeight="1">
      <c r="A9" s="602" t="s">
        <v>14</v>
      </c>
      <c r="B9" s="602" t="s">
        <v>15</v>
      </c>
      <c r="C9" s="602">
        <v>1</v>
      </c>
      <c r="D9" s="602">
        <v>2</v>
      </c>
      <c r="E9" s="602">
        <v>3</v>
      </c>
      <c r="F9" s="602">
        <v>4</v>
      </c>
      <c r="G9" s="602">
        <v>5</v>
      </c>
      <c r="H9" s="602">
        <v>6</v>
      </c>
      <c r="I9" s="602">
        <v>7</v>
      </c>
      <c r="J9" s="602">
        <v>8</v>
      </c>
      <c r="K9" s="602">
        <v>9</v>
      </c>
      <c r="L9" s="602">
        <v>10</v>
      </c>
      <c r="M9" s="602">
        <v>11</v>
      </c>
      <c r="N9" s="602">
        <v>12</v>
      </c>
      <c r="O9" s="602">
        <v>12</v>
      </c>
      <c r="P9" s="602">
        <v>13</v>
      </c>
      <c r="Q9" s="602">
        <v>14</v>
      </c>
      <c r="R9" s="602">
        <v>15</v>
      </c>
      <c r="S9" s="602">
        <v>16</v>
      </c>
      <c r="T9" s="602">
        <v>17</v>
      </c>
      <c r="U9" s="602">
        <v>18</v>
      </c>
      <c r="V9" s="602">
        <v>19</v>
      </c>
    </row>
    <row r="10" spans="1:22" ht="20.25" customHeight="1">
      <c r="A10" s="646"/>
      <c r="B10" s="635" t="s">
        <v>53</v>
      </c>
      <c r="C10" s="647">
        <v>447546.74899999989</v>
      </c>
      <c r="D10" s="647">
        <f>D11+D72+D73+D74+D75+D76</f>
        <v>447546.75399999996</v>
      </c>
      <c r="E10" s="636">
        <f>E11+E72+E73+E74+E75+E76</f>
        <v>439448.75399999996</v>
      </c>
      <c r="F10" s="636">
        <f t="shared" ref="F10:V10" si="0">F11+F72+F73+F74+F75+F76</f>
        <v>97064</v>
      </c>
      <c r="G10" s="636">
        <f t="shared" si="0"/>
        <v>0</v>
      </c>
      <c r="H10" s="636">
        <f t="shared" si="0"/>
        <v>0</v>
      </c>
      <c r="I10" s="636">
        <f t="shared" si="0"/>
        <v>7832</v>
      </c>
      <c r="J10" s="636">
        <f t="shared" si="0"/>
        <v>0</v>
      </c>
      <c r="K10" s="636">
        <f t="shared" si="0"/>
        <v>89232</v>
      </c>
      <c r="L10" s="636">
        <f t="shared" si="0"/>
        <v>325060.25400000002</v>
      </c>
      <c r="M10" s="636">
        <f t="shared" si="0"/>
        <v>348</v>
      </c>
      <c r="N10" s="636">
        <f t="shared" si="0"/>
        <v>0</v>
      </c>
      <c r="O10" s="636">
        <f t="shared" si="0"/>
        <v>0</v>
      </c>
      <c r="P10" s="636">
        <f t="shared" si="0"/>
        <v>7063</v>
      </c>
      <c r="Q10" s="636">
        <f t="shared" si="0"/>
        <v>10261.5</v>
      </c>
      <c r="R10" s="636">
        <f t="shared" si="0"/>
        <v>8098</v>
      </c>
      <c r="S10" s="636">
        <f t="shared" si="0"/>
        <v>7427</v>
      </c>
      <c r="T10" s="636">
        <f t="shared" si="0"/>
        <v>671</v>
      </c>
      <c r="U10" s="636">
        <f t="shared" si="0"/>
        <v>0</v>
      </c>
      <c r="V10" s="636">
        <f t="shared" si="0"/>
        <v>0</v>
      </c>
    </row>
    <row r="11" spans="1:22" s="463" customFormat="1" ht="27.75" customHeight="1">
      <c r="A11" s="608" t="s">
        <v>16</v>
      </c>
      <c r="B11" s="609" t="s">
        <v>99</v>
      </c>
      <c r="C11" s="610">
        <v>367317.96999999991</v>
      </c>
      <c r="D11" s="610">
        <f t="shared" ref="D11:V11" si="1">D12+D27+D35+D45+D57</f>
        <v>362186.51399999997</v>
      </c>
      <c r="E11" s="611">
        <f t="shared" si="1"/>
        <v>354139.51399999997</v>
      </c>
      <c r="F11" s="611">
        <f t="shared" si="1"/>
        <v>88424</v>
      </c>
      <c r="G11" s="611">
        <f t="shared" si="1"/>
        <v>0</v>
      </c>
      <c r="H11" s="611">
        <f t="shared" si="1"/>
        <v>0</v>
      </c>
      <c r="I11" s="611">
        <f t="shared" si="1"/>
        <v>7832</v>
      </c>
      <c r="J11" s="611">
        <f t="shared" si="1"/>
        <v>0</v>
      </c>
      <c r="K11" s="611">
        <f t="shared" si="1"/>
        <v>80592</v>
      </c>
      <c r="L11" s="611">
        <f t="shared" si="1"/>
        <v>265715.51400000002</v>
      </c>
      <c r="M11" s="611">
        <f t="shared" si="1"/>
        <v>0</v>
      </c>
      <c r="N11" s="611">
        <f t="shared" si="1"/>
        <v>0</v>
      </c>
      <c r="O11" s="611">
        <f t="shared" si="1"/>
        <v>0</v>
      </c>
      <c r="P11" s="611">
        <f t="shared" si="1"/>
        <v>0</v>
      </c>
      <c r="Q11" s="611">
        <f t="shared" si="1"/>
        <v>0</v>
      </c>
      <c r="R11" s="611">
        <f t="shared" si="1"/>
        <v>8047</v>
      </c>
      <c r="S11" s="611">
        <f t="shared" si="1"/>
        <v>7427</v>
      </c>
      <c r="T11" s="611">
        <f t="shared" si="1"/>
        <v>620</v>
      </c>
      <c r="U11" s="611">
        <f t="shared" si="1"/>
        <v>0</v>
      </c>
      <c r="V11" s="611">
        <f t="shared" si="1"/>
        <v>0</v>
      </c>
    </row>
    <row r="12" spans="1:22" s="463" customFormat="1" ht="20.25" customHeight="1">
      <c r="A12" s="608" t="s">
        <v>149</v>
      </c>
      <c r="B12" s="609" t="s">
        <v>323</v>
      </c>
      <c r="C12" s="610">
        <v>42476.124999999985</v>
      </c>
      <c r="D12" s="610">
        <f>SUM(D13:D26)</f>
        <v>41185.678999999989</v>
      </c>
      <c r="E12" s="611">
        <f t="shared" ref="E12:M12" si="2">SUM(E13:E26)</f>
        <v>35638.678999999996</v>
      </c>
      <c r="F12" s="611">
        <f t="shared" si="2"/>
        <v>1271</v>
      </c>
      <c r="G12" s="611">
        <f t="shared" si="2"/>
        <v>0</v>
      </c>
      <c r="H12" s="611">
        <f t="shared" si="2"/>
        <v>0</v>
      </c>
      <c r="I12" s="611">
        <f t="shared" si="2"/>
        <v>0</v>
      </c>
      <c r="J12" s="611">
        <f t="shared" si="2"/>
        <v>0</v>
      </c>
      <c r="K12" s="611">
        <f t="shared" si="2"/>
        <v>1271</v>
      </c>
      <c r="L12" s="610">
        <f t="shared" si="2"/>
        <v>34367.678999999996</v>
      </c>
      <c r="M12" s="611">
        <f t="shared" si="2"/>
        <v>0</v>
      </c>
      <c r="N12" s="611">
        <f t="shared" ref="N12:V12" si="3">SUM(N13:N26)</f>
        <v>0</v>
      </c>
      <c r="O12" s="611">
        <f t="shared" si="3"/>
        <v>0</v>
      </c>
      <c r="P12" s="611">
        <f t="shared" si="3"/>
        <v>0</v>
      </c>
      <c r="Q12" s="611">
        <f t="shared" si="3"/>
        <v>0</v>
      </c>
      <c r="R12" s="611">
        <f>SUM(R13:R26)</f>
        <v>5547</v>
      </c>
      <c r="S12" s="611">
        <f>SUM(S13:S26)</f>
        <v>4927</v>
      </c>
      <c r="T12" s="611">
        <f>SUM(T13:T26)</f>
        <v>620</v>
      </c>
      <c r="U12" s="611">
        <f>SUM(U13:U26)</f>
        <v>0</v>
      </c>
      <c r="V12" s="611">
        <f t="shared" si="3"/>
        <v>0</v>
      </c>
    </row>
    <row r="13" spans="1:22" ht="20.25" customHeight="1">
      <c r="A13" s="612">
        <v>1</v>
      </c>
      <c r="B13" s="613" t="s">
        <v>249</v>
      </c>
      <c r="C13" s="614">
        <v>6331.6819999999998</v>
      </c>
      <c r="D13" s="614">
        <f t="shared" ref="D13:D26" si="4">E13+R13+V13</f>
        <v>5848.1219999999994</v>
      </c>
      <c r="E13" s="615">
        <f>F13+L13+O13+P13+Q13</f>
        <v>5848.1219999999994</v>
      </c>
      <c r="F13" s="615">
        <f t="shared" ref="F13:F75" si="5">I13+J13+K13</f>
        <v>0</v>
      </c>
      <c r="G13" s="615"/>
      <c r="H13" s="615"/>
      <c r="I13" s="615"/>
      <c r="J13" s="615"/>
      <c r="K13" s="615"/>
      <c r="L13" s="617">
        <f>'37'!D10</f>
        <v>5848.1219999999994</v>
      </c>
      <c r="M13" s="615"/>
      <c r="N13" s="615"/>
      <c r="O13" s="615"/>
      <c r="P13" s="615"/>
      <c r="Q13" s="615"/>
      <c r="R13" s="615">
        <f>SUM(S13:U13)</f>
        <v>0</v>
      </c>
      <c r="S13" s="615"/>
      <c r="T13" s="615"/>
      <c r="U13" s="615"/>
      <c r="V13" s="615"/>
    </row>
    <row r="14" spans="1:22" ht="20.25" customHeight="1">
      <c r="A14" s="612">
        <v>2</v>
      </c>
      <c r="B14" s="613" t="s">
        <v>250</v>
      </c>
      <c r="C14" s="614">
        <v>962.80700000000002</v>
      </c>
      <c r="D14" s="614">
        <f t="shared" si="4"/>
        <v>944.40700000000004</v>
      </c>
      <c r="E14" s="615">
        <f t="shared" ref="E14:E75" si="6">F14+L14+O14+P14+Q14</f>
        <v>944.40700000000004</v>
      </c>
      <c r="F14" s="615">
        <f t="shared" si="5"/>
        <v>0</v>
      </c>
      <c r="G14" s="615"/>
      <c r="H14" s="615"/>
      <c r="I14" s="615"/>
      <c r="J14" s="615"/>
      <c r="K14" s="615"/>
      <c r="L14" s="617">
        <f>'37'!Q11</f>
        <v>944.40700000000004</v>
      </c>
      <c r="M14" s="615"/>
      <c r="N14" s="615"/>
      <c r="O14" s="615"/>
      <c r="P14" s="615"/>
      <c r="Q14" s="615"/>
      <c r="R14" s="615">
        <f t="shared" ref="R14:R75" si="7">SUM(S14:U14)</f>
        <v>0</v>
      </c>
      <c r="S14" s="615"/>
      <c r="T14" s="615"/>
      <c r="U14" s="615"/>
      <c r="V14" s="615"/>
    </row>
    <row r="15" spans="1:22" ht="20.25" customHeight="1">
      <c r="A15" s="612">
        <v>3</v>
      </c>
      <c r="B15" s="613" t="s">
        <v>251</v>
      </c>
      <c r="C15" s="614">
        <v>912.13</v>
      </c>
      <c r="D15" s="614">
        <f t="shared" si="4"/>
        <v>883.13</v>
      </c>
      <c r="E15" s="615">
        <f>F15+L15+O15+P15+Q15</f>
        <v>883.13</v>
      </c>
      <c r="F15" s="615">
        <f t="shared" si="5"/>
        <v>0</v>
      </c>
      <c r="G15" s="615"/>
      <c r="H15" s="615"/>
      <c r="I15" s="615"/>
      <c r="J15" s="615"/>
      <c r="K15" s="615"/>
      <c r="L15" s="617">
        <f>'37'!D12</f>
        <v>883.13</v>
      </c>
      <c r="M15" s="615"/>
      <c r="N15" s="615"/>
      <c r="O15" s="615"/>
      <c r="P15" s="615"/>
      <c r="Q15" s="615"/>
      <c r="R15" s="615">
        <f t="shared" si="7"/>
        <v>0</v>
      </c>
      <c r="S15" s="615"/>
      <c r="T15" s="615"/>
      <c r="U15" s="615"/>
      <c r="V15" s="615"/>
    </row>
    <row r="16" spans="1:22" ht="20.25" customHeight="1">
      <c r="A16" s="612">
        <v>4</v>
      </c>
      <c r="B16" s="613" t="s">
        <v>252</v>
      </c>
      <c r="C16" s="614">
        <v>2142.4580000000001</v>
      </c>
      <c r="D16" s="614">
        <f t="shared" si="4"/>
        <v>2085.2580000000003</v>
      </c>
      <c r="E16" s="615">
        <f t="shared" si="6"/>
        <v>1465.2580000000003</v>
      </c>
      <c r="F16" s="615">
        <f t="shared" si="5"/>
        <v>0</v>
      </c>
      <c r="G16" s="615"/>
      <c r="H16" s="615"/>
      <c r="I16" s="615"/>
      <c r="J16" s="615"/>
      <c r="K16" s="615"/>
      <c r="L16" s="617">
        <f>'37'!D13-R16</f>
        <v>1465.2580000000003</v>
      </c>
      <c r="M16" s="615"/>
      <c r="N16" s="615"/>
      <c r="O16" s="615"/>
      <c r="P16" s="615"/>
      <c r="Q16" s="615"/>
      <c r="R16" s="615">
        <f t="shared" si="7"/>
        <v>620</v>
      </c>
      <c r="S16" s="615"/>
      <c r="T16" s="615">
        <v>620</v>
      </c>
      <c r="U16" s="615"/>
      <c r="V16" s="615"/>
    </row>
    <row r="17" spans="1:22" ht="20.25" customHeight="1">
      <c r="A17" s="612">
        <v>5</v>
      </c>
      <c r="B17" s="613" t="s">
        <v>253</v>
      </c>
      <c r="C17" s="614">
        <v>1203.2909999999999</v>
      </c>
      <c r="D17" s="614">
        <f t="shared" si="4"/>
        <v>1162.5909999999999</v>
      </c>
      <c r="E17" s="615">
        <f t="shared" si="6"/>
        <v>1162.5909999999999</v>
      </c>
      <c r="F17" s="615">
        <f t="shared" si="5"/>
        <v>0</v>
      </c>
      <c r="G17" s="615"/>
      <c r="H17" s="615"/>
      <c r="I17" s="615"/>
      <c r="J17" s="615"/>
      <c r="K17" s="615"/>
      <c r="L17" s="617">
        <f>'37'!D14</f>
        <v>1162.5909999999999</v>
      </c>
      <c r="M17" s="615"/>
      <c r="N17" s="615"/>
      <c r="O17" s="615"/>
      <c r="P17" s="615"/>
      <c r="Q17" s="615"/>
      <c r="R17" s="615">
        <f t="shared" si="7"/>
        <v>0</v>
      </c>
      <c r="S17" s="615"/>
      <c r="T17" s="615"/>
      <c r="U17" s="615"/>
      <c r="V17" s="615"/>
    </row>
    <row r="18" spans="1:22" ht="20.25" customHeight="1">
      <c r="A18" s="612">
        <v>6</v>
      </c>
      <c r="B18" s="613" t="s">
        <v>254</v>
      </c>
      <c r="C18" s="614">
        <v>4033.7200000000003</v>
      </c>
      <c r="D18" s="614">
        <f t="shared" si="4"/>
        <v>4008.52</v>
      </c>
      <c r="E18" s="615">
        <f t="shared" si="6"/>
        <v>908.52</v>
      </c>
      <c r="F18" s="615">
        <f t="shared" si="5"/>
        <v>0</v>
      </c>
      <c r="G18" s="615"/>
      <c r="H18" s="615"/>
      <c r="I18" s="615"/>
      <c r="J18" s="615"/>
      <c r="K18" s="615"/>
      <c r="L18" s="617">
        <f>'37'!Q15</f>
        <v>908.52</v>
      </c>
      <c r="M18" s="615"/>
      <c r="N18" s="615"/>
      <c r="O18" s="615"/>
      <c r="P18" s="615"/>
      <c r="Q18" s="615"/>
      <c r="R18" s="615">
        <f t="shared" si="7"/>
        <v>3100</v>
      </c>
      <c r="S18" s="615">
        <v>3100</v>
      </c>
      <c r="T18" s="615"/>
      <c r="U18" s="615"/>
      <c r="V18" s="615"/>
    </row>
    <row r="19" spans="1:22" ht="20.25" customHeight="1">
      <c r="A19" s="612">
        <v>7</v>
      </c>
      <c r="B19" s="613" t="s">
        <v>255</v>
      </c>
      <c r="C19" s="614">
        <v>439.96800000000002</v>
      </c>
      <c r="D19" s="614">
        <f t="shared" si="4"/>
        <v>422.96800000000002</v>
      </c>
      <c r="E19" s="615">
        <f t="shared" si="6"/>
        <v>422.96800000000002</v>
      </c>
      <c r="F19" s="615">
        <f t="shared" si="5"/>
        <v>0</v>
      </c>
      <c r="G19" s="615"/>
      <c r="H19" s="615"/>
      <c r="I19" s="615"/>
      <c r="J19" s="615"/>
      <c r="K19" s="615"/>
      <c r="L19" s="617">
        <f>'37'!D16</f>
        <v>422.96800000000002</v>
      </c>
      <c r="M19" s="615"/>
      <c r="N19" s="615"/>
      <c r="O19" s="615"/>
      <c r="P19" s="615"/>
      <c r="Q19" s="615"/>
      <c r="R19" s="615">
        <f t="shared" si="7"/>
        <v>0</v>
      </c>
      <c r="S19" s="615"/>
      <c r="T19" s="615"/>
      <c r="U19" s="615"/>
      <c r="V19" s="615"/>
    </row>
    <row r="20" spans="1:22" ht="20.25" customHeight="1">
      <c r="A20" s="612">
        <v>8</v>
      </c>
      <c r="B20" s="613" t="s">
        <v>256</v>
      </c>
      <c r="C20" s="614">
        <v>18066.699999999997</v>
      </c>
      <c r="D20" s="614">
        <f t="shared" si="4"/>
        <v>17899.479999999996</v>
      </c>
      <c r="E20" s="615">
        <f t="shared" si="6"/>
        <v>17899.479999999996</v>
      </c>
      <c r="F20" s="615">
        <f t="shared" si="5"/>
        <v>0</v>
      </c>
      <c r="G20" s="615"/>
      <c r="H20" s="615"/>
      <c r="I20" s="615"/>
      <c r="J20" s="615"/>
      <c r="K20" s="615"/>
      <c r="L20" s="617">
        <f>'37'!D17</f>
        <v>17899.479999999996</v>
      </c>
      <c r="M20" s="615"/>
      <c r="N20" s="615"/>
      <c r="O20" s="615"/>
      <c r="P20" s="615"/>
      <c r="Q20" s="615"/>
      <c r="R20" s="615">
        <f t="shared" si="7"/>
        <v>0</v>
      </c>
      <c r="S20" s="615"/>
      <c r="T20" s="615"/>
      <c r="U20" s="615"/>
      <c r="V20" s="615"/>
    </row>
    <row r="21" spans="1:22" ht="20.25" customHeight="1">
      <c r="A21" s="612">
        <v>9</v>
      </c>
      <c r="B21" s="613" t="s">
        <v>257</v>
      </c>
      <c r="C21" s="614">
        <v>698.33999999999992</v>
      </c>
      <c r="D21" s="614">
        <f t="shared" si="4"/>
        <v>677.33999999999992</v>
      </c>
      <c r="E21" s="615">
        <f t="shared" si="6"/>
        <v>677.33999999999992</v>
      </c>
      <c r="F21" s="615">
        <f t="shared" si="5"/>
        <v>0</v>
      </c>
      <c r="G21" s="615"/>
      <c r="H21" s="615"/>
      <c r="I21" s="615"/>
      <c r="J21" s="615"/>
      <c r="K21" s="615"/>
      <c r="L21" s="617">
        <f>'37'!D18</f>
        <v>677.33999999999992</v>
      </c>
      <c r="M21" s="615"/>
      <c r="N21" s="615"/>
      <c r="O21" s="615"/>
      <c r="P21" s="615"/>
      <c r="Q21" s="615"/>
      <c r="R21" s="615">
        <f t="shared" si="7"/>
        <v>0</v>
      </c>
      <c r="S21" s="615"/>
      <c r="T21" s="615"/>
      <c r="U21" s="615"/>
      <c r="V21" s="615"/>
    </row>
    <row r="22" spans="1:22" ht="20.25" customHeight="1">
      <c r="A22" s="612">
        <v>10</v>
      </c>
      <c r="B22" s="613" t="s">
        <v>258</v>
      </c>
      <c r="C22" s="614">
        <v>4099.7280000000001</v>
      </c>
      <c r="D22" s="614">
        <f t="shared" si="4"/>
        <v>3854.9279999999999</v>
      </c>
      <c r="E22" s="615">
        <f>F22+L22+O22+P22+Q22</f>
        <v>2027.9279999999999</v>
      </c>
      <c r="F22" s="615">
        <f t="shared" si="5"/>
        <v>1271</v>
      </c>
      <c r="G22" s="615"/>
      <c r="H22" s="615"/>
      <c r="I22" s="615"/>
      <c r="J22" s="615"/>
      <c r="K22" s="615">
        <f>1731-460</f>
        <v>1271</v>
      </c>
      <c r="L22" s="617">
        <f>'37'!D19</f>
        <v>756.92799999999988</v>
      </c>
      <c r="M22" s="615"/>
      <c r="N22" s="615"/>
      <c r="O22" s="615"/>
      <c r="P22" s="615"/>
      <c r="Q22" s="615"/>
      <c r="R22" s="615">
        <f t="shared" si="7"/>
        <v>1827</v>
      </c>
      <c r="S22" s="615">
        <v>1827</v>
      </c>
      <c r="T22" s="615"/>
      <c r="U22" s="615"/>
      <c r="V22" s="615"/>
    </row>
    <row r="23" spans="1:22" ht="20.25" customHeight="1">
      <c r="A23" s="612">
        <v>11</v>
      </c>
      <c r="B23" s="613" t="s">
        <v>259</v>
      </c>
      <c r="C23" s="614">
        <v>2025.84</v>
      </c>
      <c r="D23" s="614">
        <f t="shared" si="4"/>
        <v>1904.24</v>
      </c>
      <c r="E23" s="615">
        <f t="shared" si="6"/>
        <v>1904.24</v>
      </c>
      <c r="F23" s="615">
        <f t="shared" si="5"/>
        <v>0</v>
      </c>
      <c r="G23" s="615"/>
      <c r="H23" s="615"/>
      <c r="I23" s="615"/>
      <c r="J23" s="615"/>
      <c r="K23" s="615"/>
      <c r="L23" s="616">
        <f>'37'!D20</f>
        <v>1904.24</v>
      </c>
      <c r="M23" s="615"/>
      <c r="N23" s="615"/>
      <c r="O23" s="615"/>
      <c r="P23" s="615"/>
      <c r="Q23" s="615"/>
      <c r="R23" s="615">
        <f t="shared" si="7"/>
        <v>0</v>
      </c>
      <c r="S23" s="615"/>
      <c r="T23" s="615"/>
      <c r="U23" s="615"/>
      <c r="V23" s="615"/>
    </row>
    <row r="24" spans="1:22" ht="20.25" customHeight="1">
      <c r="A24" s="612">
        <v>12</v>
      </c>
      <c r="B24" s="613" t="s">
        <v>260</v>
      </c>
      <c r="C24" s="614">
        <v>909.27</v>
      </c>
      <c r="D24" s="614">
        <f t="shared" si="4"/>
        <v>854.80399999999997</v>
      </c>
      <c r="E24" s="615">
        <f t="shared" si="6"/>
        <v>854.80399999999997</v>
      </c>
      <c r="F24" s="615">
        <f t="shared" si="5"/>
        <v>0</v>
      </c>
      <c r="G24" s="615"/>
      <c r="H24" s="615"/>
      <c r="I24" s="615"/>
      <c r="J24" s="615"/>
      <c r="K24" s="615"/>
      <c r="L24" s="615">
        <f>'37'!D21</f>
        <v>854.80399999999997</v>
      </c>
      <c r="M24" s="615"/>
      <c r="N24" s="615"/>
      <c r="O24" s="615"/>
      <c r="P24" s="615"/>
      <c r="Q24" s="615"/>
      <c r="R24" s="615">
        <f t="shared" si="7"/>
        <v>0</v>
      </c>
      <c r="S24" s="615"/>
      <c r="T24" s="615"/>
      <c r="U24" s="615"/>
      <c r="V24" s="615"/>
    </row>
    <row r="25" spans="1:22" ht="20.25" customHeight="1">
      <c r="A25" s="612">
        <v>13</v>
      </c>
      <c r="B25" s="613" t="s">
        <v>261</v>
      </c>
      <c r="C25" s="614">
        <v>650.19100000000003</v>
      </c>
      <c r="D25" s="614">
        <f t="shared" si="4"/>
        <v>639.89100000000008</v>
      </c>
      <c r="E25" s="615">
        <f t="shared" si="6"/>
        <v>639.89100000000008</v>
      </c>
      <c r="F25" s="615">
        <f t="shared" si="5"/>
        <v>0</v>
      </c>
      <c r="G25" s="615"/>
      <c r="H25" s="615"/>
      <c r="I25" s="615"/>
      <c r="J25" s="615"/>
      <c r="K25" s="615"/>
      <c r="L25" s="615">
        <f>'37'!D22</f>
        <v>639.89100000000008</v>
      </c>
      <c r="M25" s="615"/>
      <c r="N25" s="615"/>
      <c r="O25" s="615"/>
      <c r="P25" s="615"/>
      <c r="Q25" s="615"/>
      <c r="R25" s="615">
        <f t="shared" si="7"/>
        <v>0</v>
      </c>
      <c r="S25" s="615"/>
      <c r="T25" s="615"/>
      <c r="U25" s="615"/>
      <c r="V25" s="615"/>
    </row>
    <row r="26" spans="1:22" ht="20.25" hidden="1" customHeight="1">
      <c r="A26" s="612">
        <v>14</v>
      </c>
      <c r="B26" s="613"/>
      <c r="C26" s="614">
        <v>0</v>
      </c>
      <c r="D26" s="614">
        <f t="shared" si="4"/>
        <v>0</v>
      </c>
      <c r="E26" s="615">
        <f t="shared" si="6"/>
        <v>0</v>
      </c>
      <c r="F26" s="615">
        <f t="shared" si="5"/>
        <v>0</v>
      </c>
      <c r="G26" s="615"/>
      <c r="H26" s="615"/>
      <c r="I26" s="615"/>
      <c r="J26" s="615"/>
      <c r="K26" s="615"/>
      <c r="L26" s="615"/>
      <c r="M26" s="615"/>
      <c r="N26" s="615"/>
      <c r="O26" s="615"/>
      <c r="P26" s="615"/>
      <c r="Q26" s="615"/>
      <c r="R26" s="615">
        <f t="shared" si="7"/>
        <v>0</v>
      </c>
      <c r="S26" s="615"/>
      <c r="T26" s="615"/>
      <c r="U26" s="615"/>
      <c r="V26" s="615"/>
    </row>
    <row r="27" spans="1:22" s="463" customFormat="1" ht="20.25" customHeight="1">
      <c r="A27" s="608" t="s">
        <v>150</v>
      </c>
      <c r="B27" s="609" t="s">
        <v>262</v>
      </c>
      <c r="C27" s="610">
        <v>17679.660000000003</v>
      </c>
      <c r="D27" s="610">
        <f t="shared" ref="D27:V27" si="8">SUM(D28:D34)</f>
        <v>17450.730000000003</v>
      </c>
      <c r="E27" s="611">
        <f t="shared" si="8"/>
        <v>17450.730000000003</v>
      </c>
      <c r="F27" s="611">
        <f t="shared" si="8"/>
        <v>6200</v>
      </c>
      <c r="G27" s="611">
        <f t="shared" si="8"/>
        <v>0</v>
      </c>
      <c r="H27" s="611">
        <f t="shared" si="8"/>
        <v>0</v>
      </c>
      <c r="I27" s="611">
        <f t="shared" si="8"/>
        <v>3000</v>
      </c>
      <c r="J27" s="611">
        <f t="shared" si="8"/>
        <v>0</v>
      </c>
      <c r="K27" s="611">
        <f t="shared" si="8"/>
        <v>3200</v>
      </c>
      <c r="L27" s="611">
        <f t="shared" si="8"/>
        <v>11250.73</v>
      </c>
      <c r="M27" s="611">
        <f t="shared" si="8"/>
        <v>0</v>
      </c>
      <c r="N27" s="611">
        <f t="shared" si="8"/>
        <v>0</v>
      </c>
      <c r="O27" s="611">
        <f t="shared" si="8"/>
        <v>0</v>
      </c>
      <c r="P27" s="611">
        <f t="shared" si="8"/>
        <v>0</v>
      </c>
      <c r="Q27" s="611">
        <f t="shared" si="8"/>
        <v>0</v>
      </c>
      <c r="R27" s="611">
        <f t="shared" si="8"/>
        <v>0</v>
      </c>
      <c r="S27" s="611">
        <f t="shared" si="8"/>
        <v>0</v>
      </c>
      <c r="T27" s="611">
        <f t="shared" si="8"/>
        <v>0</v>
      </c>
      <c r="U27" s="611">
        <f t="shared" si="8"/>
        <v>0</v>
      </c>
      <c r="V27" s="611">
        <f t="shared" si="8"/>
        <v>0</v>
      </c>
    </row>
    <row r="28" spans="1:22" ht="20.25" customHeight="1">
      <c r="A28" s="612">
        <v>1</v>
      </c>
      <c r="B28" s="613" t="s">
        <v>263</v>
      </c>
      <c r="C28" s="614">
        <v>14720.552</v>
      </c>
      <c r="D28" s="614">
        <f t="shared" ref="D28:D34" si="9">E28+R28+V28</f>
        <v>14503.552</v>
      </c>
      <c r="E28" s="615">
        <f t="shared" si="6"/>
        <v>14503.552</v>
      </c>
      <c r="F28" s="615">
        <f t="shared" si="5"/>
        <v>6200</v>
      </c>
      <c r="G28" s="615"/>
      <c r="H28" s="615"/>
      <c r="I28" s="615">
        <v>3000</v>
      </c>
      <c r="J28" s="615"/>
      <c r="K28" s="615">
        <v>3200</v>
      </c>
      <c r="L28" s="617">
        <f>'37'!D25</f>
        <v>8303.5519999999997</v>
      </c>
      <c r="M28" s="615"/>
      <c r="N28" s="615"/>
      <c r="O28" s="615"/>
      <c r="P28" s="615"/>
      <c r="Q28" s="615"/>
      <c r="R28" s="615">
        <f t="shared" si="7"/>
        <v>0</v>
      </c>
      <c r="S28" s="615"/>
      <c r="T28" s="615"/>
      <c r="U28" s="615"/>
      <c r="V28" s="615"/>
    </row>
    <row r="29" spans="1:22" ht="20.25" customHeight="1">
      <c r="A29" s="612">
        <v>2</v>
      </c>
      <c r="B29" s="613" t="s">
        <v>264</v>
      </c>
      <c r="C29" s="614">
        <v>644.47400000000005</v>
      </c>
      <c r="D29" s="614">
        <f t="shared" si="9"/>
        <v>677.904</v>
      </c>
      <c r="E29" s="615">
        <f t="shared" si="6"/>
        <v>677.904</v>
      </c>
      <c r="F29" s="615">
        <f t="shared" si="5"/>
        <v>0</v>
      </c>
      <c r="G29" s="615"/>
      <c r="H29" s="615"/>
      <c r="I29" s="615"/>
      <c r="J29" s="615"/>
      <c r="K29" s="615"/>
      <c r="L29" s="617">
        <f>'37'!D26</f>
        <v>677.904</v>
      </c>
      <c r="M29" s="615"/>
      <c r="N29" s="615"/>
      <c r="O29" s="615"/>
      <c r="P29" s="615"/>
      <c r="Q29" s="615"/>
      <c r="R29" s="615">
        <f t="shared" si="7"/>
        <v>0</v>
      </c>
      <c r="S29" s="615"/>
      <c r="T29" s="615"/>
      <c r="U29" s="615"/>
      <c r="V29" s="615"/>
    </row>
    <row r="30" spans="1:22" ht="20.25" customHeight="1">
      <c r="A30" s="612">
        <v>3</v>
      </c>
      <c r="B30" s="613" t="s">
        <v>265</v>
      </c>
      <c r="C30" s="614">
        <v>699.55899999999997</v>
      </c>
      <c r="D30" s="614">
        <f t="shared" si="9"/>
        <v>651.43899999999996</v>
      </c>
      <c r="E30" s="615">
        <f t="shared" si="6"/>
        <v>651.43899999999996</v>
      </c>
      <c r="F30" s="615">
        <f t="shared" si="5"/>
        <v>0</v>
      </c>
      <c r="G30" s="615"/>
      <c r="H30" s="615"/>
      <c r="I30" s="615"/>
      <c r="J30" s="615"/>
      <c r="K30" s="615"/>
      <c r="L30" s="617">
        <f>'37'!D27</f>
        <v>651.43899999999996</v>
      </c>
      <c r="M30" s="615"/>
      <c r="N30" s="615"/>
      <c r="O30" s="615"/>
      <c r="P30" s="615"/>
      <c r="Q30" s="615"/>
      <c r="R30" s="615">
        <f t="shared" si="7"/>
        <v>0</v>
      </c>
      <c r="S30" s="615"/>
      <c r="T30" s="615"/>
      <c r="U30" s="615"/>
      <c r="V30" s="615"/>
    </row>
    <row r="31" spans="1:22" ht="20.25" customHeight="1">
      <c r="A31" s="612">
        <v>4</v>
      </c>
      <c r="B31" s="613" t="s">
        <v>266</v>
      </c>
      <c r="C31" s="614">
        <v>592.98800000000006</v>
      </c>
      <c r="D31" s="614">
        <f t="shared" si="9"/>
        <v>599.03800000000001</v>
      </c>
      <c r="E31" s="615">
        <f t="shared" si="6"/>
        <v>599.03800000000001</v>
      </c>
      <c r="F31" s="615">
        <f t="shared" si="5"/>
        <v>0</v>
      </c>
      <c r="G31" s="615"/>
      <c r="H31" s="615"/>
      <c r="I31" s="615"/>
      <c r="J31" s="615"/>
      <c r="K31" s="615"/>
      <c r="L31" s="617">
        <f>'37'!D28</f>
        <v>599.03800000000001</v>
      </c>
      <c r="M31" s="615"/>
      <c r="N31" s="615"/>
      <c r="O31" s="615"/>
      <c r="P31" s="615"/>
      <c r="Q31" s="615"/>
      <c r="R31" s="615">
        <f t="shared" si="7"/>
        <v>0</v>
      </c>
      <c r="S31" s="615"/>
      <c r="T31" s="615"/>
      <c r="U31" s="615"/>
      <c r="V31" s="615"/>
    </row>
    <row r="32" spans="1:22" ht="20.25" customHeight="1">
      <c r="A32" s="612">
        <v>5</v>
      </c>
      <c r="B32" s="613" t="s">
        <v>267</v>
      </c>
      <c r="C32" s="614">
        <v>465.2</v>
      </c>
      <c r="D32" s="614">
        <f t="shared" si="9"/>
        <v>483.71</v>
      </c>
      <c r="E32" s="615">
        <f t="shared" si="6"/>
        <v>483.71</v>
      </c>
      <c r="F32" s="615">
        <f t="shared" si="5"/>
        <v>0</v>
      </c>
      <c r="G32" s="615"/>
      <c r="H32" s="615"/>
      <c r="I32" s="615"/>
      <c r="J32" s="615"/>
      <c r="K32" s="615"/>
      <c r="L32" s="617">
        <f>'37'!D29</f>
        <v>483.71</v>
      </c>
      <c r="M32" s="615"/>
      <c r="N32" s="615"/>
      <c r="O32" s="615"/>
      <c r="P32" s="615"/>
      <c r="Q32" s="615"/>
      <c r="R32" s="615">
        <f t="shared" si="7"/>
        <v>0</v>
      </c>
      <c r="S32" s="615"/>
      <c r="T32" s="615"/>
      <c r="U32" s="615"/>
      <c r="V32" s="615"/>
    </row>
    <row r="33" spans="1:22" ht="20.25" customHeight="1">
      <c r="A33" s="612">
        <v>6</v>
      </c>
      <c r="B33" s="613" t="s">
        <v>268</v>
      </c>
      <c r="C33" s="614">
        <v>436.18700000000001</v>
      </c>
      <c r="D33" s="614">
        <f t="shared" si="9"/>
        <v>419.68700000000001</v>
      </c>
      <c r="E33" s="615">
        <f t="shared" si="6"/>
        <v>419.68700000000001</v>
      </c>
      <c r="F33" s="615">
        <f t="shared" si="5"/>
        <v>0</v>
      </c>
      <c r="G33" s="615"/>
      <c r="H33" s="615"/>
      <c r="I33" s="615"/>
      <c r="J33" s="615"/>
      <c r="K33" s="615"/>
      <c r="L33" s="617">
        <f>'37'!D30</f>
        <v>419.68700000000001</v>
      </c>
      <c r="M33" s="615"/>
      <c r="N33" s="615"/>
      <c r="O33" s="615"/>
      <c r="P33" s="615"/>
      <c r="Q33" s="615"/>
      <c r="R33" s="615">
        <f t="shared" si="7"/>
        <v>0</v>
      </c>
      <c r="S33" s="615"/>
      <c r="T33" s="615"/>
      <c r="U33" s="615"/>
      <c r="V33" s="615"/>
    </row>
    <row r="34" spans="1:22" ht="20.25" customHeight="1">
      <c r="A34" s="612">
        <v>8</v>
      </c>
      <c r="B34" s="613" t="s">
        <v>269</v>
      </c>
      <c r="C34" s="614">
        <v>120.7</v>
      </c>
      <c r="D34" s="614">
        <f t="shared" si="9"/>
        <v>115.4</v>
      </c>
      <c r="E34" s="615">
        <f t="shared" si="6"/>
        <v>115.4</v>
      </c>
      <c r="F34" s="615">
        <f t="shared" si="5"/>
        <v>0</v>
      </c>
      <c r="G34" s="615"/>
      <c r="H34" s="615"/>
      <c r="I34" s="615"/>
      <c r="J34" s="615"/>
      <c r="K34" s="615"/>
      <c r="L34" s="617">
        <f>'37'!D31</f>
        <v>115.4</v>
      </c>
      <c r="M34" s="615"/>
      <c r="N34" s="615"/>
      <c r="O34" s="615"/>
      <c r="P34" s="615"/>
      <c r="Q34" s="615"/>
      <c r="R34" s="615">
        <f t="shared" si="7"/>
        <v>0</v>
      </c>
      <c r="S34" s="615"/>
      <c r="T34" s="615"/>
      <c r="U34" s="615"/>
      <c r="V34" s="615"/>
    </row>
    <row r="35" spans="1:22" s="463" customFormat="1" ht="20.25" customHeight="1">
      <c r="A35" s="608" t="s">
        <v>179</v>
      </c>
      <c r="B35" s="609" t="s">
        <v>272</v>
      </c>
      <c r="C35" s="610">
        <v>301509.41199999995</v>
      </c>
      <c r="D35" s="610">
        <f>SUM(D36:D44)</f>
        <v>297891.212</v>
      </c>
      <c r="E35" s="611">
        <f t="shared" ref="E35:V35" si="10">SUM(E36:E44)</f>
        <v>295391.212</v>
      </c>
      <c r="F35" s="611">
        <f t="shared" si="10"/>
        <v>80953</v>
      </c>
      <c r="G35" s="611">
        <f t="shared" si="10"/>
        <v>0</v>
      </c>
      <c r="H35" s="611">
        <f t="shared" si="10"/>
        <v>0</v>
      </c>
      <c r="I35" s="611">
        <f t="shared" si="10"/>
        <v>4832</v>
      </c>
      <c r="J35" s="611">
        <f t="shared" si="10"/>
        <v>0</v>
      </c>
      <c r="K35" s="611">
        <f t="shared" si="10"/>
        <v>76121</v>
      </c>
      <c r="L35" s="611">
        <f t="shared" si="10"/>
        <v>214438.21200000003</v>
      </c>
      <c r="M35" s="611">
        <f t="shared" si="10"/>
        <v>0</v>
      </c>
      <c r="N35" s="611">
        <f t="shared" si="10"/>
        <v>0</v>
      </c>
      <c r="O35" s="611">
        <f t="shared" si="10"/>
        <v>0</v>
      </c>
      <c r="P35" s="611">
        <f t="shared" si="10"/>
        <v>0</v>
      </c>
      <c r="Q35" s="611">
        <f t="shared" si="10"/>
        <v>0</v>
      </c>
      <c r="R35" s="611">
        <f t="shared" si="10"/>
        <v>2500</v>
      </c>
      <c r="S35" s="611">
        <f t="shared" si="10"/>
        <v>2500</v>
      </c>
      <c r="T35" s="611">
        <f t="shared" si="10"/>
        <v>0</v>
      </c>
      <c r="U35" s="611">
        <f t="shared" si="10"/>
        <v>0</v>
      </c>
      <c r="V35" s="611">
        <f t="shared" si="10"/>
        <v>0</v>
      </c>
    </row>
    <row r="36" spans="1:22" ht="20.25" customHeight="1">
      <c r="A36" s="612">
        <v>1</v>
      </c>
      <c r="B36" s="613" t="s">
        <v>656</v>
      </c>
      <c r="C36" s="614">
        <v>194224.48</v>
      </c>
      <c r="D36" s="614">
        <f t="shared" ref="D36:D44" si="11">E36+R36+V36</f>
        <v>191843.98</v>
      </c>
      <c r="E36" s="615">
        <f t="shared" ref="E36" si="12">F36+L36+O36+P36+Q36</f>
        <v>191843.98</v>
      </c>
      <c r="F36" s="615">
        <f>I36+J36+K36</f>
        <v>0</v>
      </c>
      <c r="G36" s="615"/>
      <c r="H36" s="615"/>
      <c r="I36" s="615"/>
      <c r="J36" s="615"/>
      <c r="K36" s="615"/>
      <c r="L36" s="617">
        <f>'37'!E15</f>
        <v>191843.98</v>
      </c>
      <c r="M36" s="615"/>
      <c r="N36" s="615"/>
      <c r="O36" s="615"/>
      <c r="P36" s="615"/>
      <c r="Q36" s="615"/>
      <c r="R36" s="615">
        <f t="shared" ref="R36" si="13">SUM(S36:U36)</f>
        <v>0</v>
      </c>
      <c r="S36" s="615"/>
      <c r="T36" s="615"/>
      <c r="U36" s="615"/>
      <c r="V36" s="615"/>
    </row>
    <row r="37" spans="1:22" ht="33" customHeight="1">
      <c r="A37" s="612">
        <v>1</v>
      </c>
      <c r="B37" s="613" t="s">
        <v>683</v>
      </c>
      <c r="C37" s="614">
        <v>802.71</v>
      </c>
      <c r="D37" s="614">
        <f t="shared" si="11"/>
        <v>789.31000000000006</v>
      </c>
      <c r="E37" s="615">
        <f t="shared" si="6"/>
        <v>789.31000000000006</v>
      </c>
      <c r="F37" s="615">
        <f>I37+J37+K37</f>
        <v>0</v>
      </c>
      <c r="G37" s="615"/>
      <c r="H37" s="615"/>
      <c r="I37" s="615"/>
      <c r="J37" s="615"/>
      <c r="K37" s="615"/>
      <c r="L37" s="615">
        <f>'37'!E33</f>
        <v>789.31000000000006</v>
      </c>
      <c r="M37" s="615"/>
      <c r="N37" s="615"/>
      <c r="O37" s="615"/>
      <c r="P37" s="615"/>
      <c r="Q37" s="615"/>
      <c r="R37" s="615">
        <f t="shared" si="7"/>
        <v>0</v>
      </c>
      <c r="S37" s="615"/>
      <c r="T37" s="615"/>
      <c r="U37" s="615"/>
      <c r="V37" s="615"/>
    </row>
    <row r="38" spans="1:22" ht="31.5" customHeight="1">
      <c r="A38" s="612">
        <v>2</v>
      </c>
      <c r="B38" s="613" t="s">
        <v>684</v>
      </c>
      <c r="C38" s="614">
        <v>2613</v>
      </c>
      <c r="D38" s="614">
        <f t="shared" si="11"/>
        <v>2511.1999999999998</v>
      </c>
      <c r="E38" s="615">
        <f t="shared" si="6"/>
        <v>2511.1999999999998</v>
      </c>
      <c r="F38" s="615">
        <f t="shared" si="5"/>
        <v>0</v>
      </c>
      <c r="G38" s="615"/>
      <c r="H38" s="615"/>
      <c r="I38" s="615"/>
      <c r="J38" s="615"/>
      <c r="K38" s="615"/>
      <c r="L38" s="616">
        <f>'37'!D34</f>
        <v>2511.1999999999998</v>
      </c>
      <c r="M38" s="615"/>
      <c r="N38" s="615"/>
      <c r="O38" s="615"/>
      <c r="P38" s="615"/>
      <c r="Q38" s="615"/>
      <c r="R38" s="615">
        <f t="shared" si="7"/>
        <v>0</v>
      </c>
      <c r="S38" s="615"/>
      <c r="T38" s="615"/>
      <c r="U38" s="615"/>
      <c r="V38" s="615"/>
    </row>
    <row r="39" spans="1:22" ht="20.25" customHeight="1">
      <c r="A39" s="612">
        <v>3</v>
      </c>
      <c r="B39" s="613" t="s">
        <v>274</v>
      </c>
      <c r="C39" s="614">
        <v>1351.81</v>
      </c>
      <c r="D39" s="614">
        <f t="shared" si="11"/>
        <v>1337.4099999999999</v>
      </c>
      <c r="E39" s="615">
        <f>F39+L39+O39+P39+Q39</f>
        <v>1337.4099999999999</v>
      </c>
      <c r="F39" s="615">
        <f>I39+J39+K39</f>
        <v>0</v>
      </c>
      <c r="G39" s="615"/>
      <c r="H39" s="615"/>
      <c r="I39" s="615"/>
      <c r="J39" s="615"/>
      <c r="K39" s="615"/>
      <c r="L39" s="615">
        <f>'37'!D36</f>
        <v>1337.4099999999999</v>
      </c>
      <c r="M39" s="615"/>
      <c r="N39" s="615"/>
      <c r="O39" s="615"/>
      <c r="P39" s="615"/>
      <c r="Q39" s="615"/>
      <c r="R39" s="615">
        <f t="shared" si="7"/>
        <v>0</v>
      </c>
      <c r="S39" s="615"/>
      <c r="T39" s="615"/>
      <c r="U39" s="615"/>
      <c r="V39" s="615"/>
    </row>
    <row r="40" spans="1:22" ht="20.25" customHeight="1">
      <c r="A40" s="612">
        <v>4</v>
      </c>
      <c r="B40" s="613" t="s">
        <v>331</v>
      </c>
      <c r="C40" s="614">
        <v>2213.6219999999998</v>
      </c>
      <c r="D40" s="614">
        <f t="shared" si="11"/>
        <v>2925.3220000000001</v>
      </c>
      <c r="E40" s="615">
        <f t="shared" si="6"/>
        <v>2925.3220000000001</v>
      </c>
      <c r="F40" s="615">
        <f t="shared" si="5"/>
        <v>0</v>
      </c>
      <c r="G40" s="615"/>
      <c r="H40" s="615"/>
      <c r="I40" s="615"/>
      <c r="J40" s="615"/>
      <c r="K40" s="615"/>
      <c r="L40" s="614">
        <f>'37'!D37</f>
        <v>2925.3220000000001</v>
      </c>
      <c r="M40" s="615"/>
      <c r="N40" s="615"/>
      <c r="O40" s="615"/>
      <c r="P40" s="615"/>
      <c r="Q40" s="615"/>
      <c r="R40" s="615">
        <f t="shared" si="7"/>
        <v>0</v>
      </c>
      <c r="S40" s="615"/>
      <c r="T40" s="615"/>
      <c r="U40" s="615"/>
      <c r="V40" s="615"/>
    </row>
    <row r="41" spans="1:22" ht="27.75" customHeight="1">
      <c r="A41" s="612">
        <v>5</v>
      </c>
      <c r="B41" s="613" t="s">
        <v>685</v>
      </c>
      <c r="C41" s="614">
        <v>6949</v>
      </c>
      <c r="D41" s="614">
        <f t="shared" si="11"/>
        <v>6606.2</v>
      </c>
      <c r="E41" s="615">
        <f t="shared" si="6"/>
        <v>6606.2</v>
      </c>
      <c r="F41" s="615">
        <f t="shared" si="5"/>
        <v>0</v>
      </c>
      <c r="G41" s="615"/>
      <c r="H41" s="615"/>
      <c r="I41" s="615"/>
      <c r="J41" s="615"/>
      <c r="K41" s="615"/>
      <c r="L41" s="614">
        <f>'37'!D38</f>
        <v>6606.2</v>
      </c>
      <c r="M41" s="615"/>
      <c r="N41" s="615"/>
      <c r="O41" s="615"/>
      <c r="P41" s="615"/>
      <c r="Q41" s="615"/>
      <c r="R41" s="615">
        <f t="shared" si="7"/>
        <v>0</v>
      </c>
      <c r="S41" s="615"/>
      <c r="T41" s="615"/>
      <c r="U41" s="615"/>
      <c r="V41" s="615"/>
    </row>
    <row r="42" spans="1:22" ht="36.75" customHeight="1">
      <c r="A42" s="612">
        <v>6</v>
      </c>
      <c r="B42" s="613" t="s">
        <v>686</v>
      </c>
      <c r="C42" s="614">
        <v>88557</v>
      </c>
      <c r="D42" s="614">
        <f t="shared" si="11"/>
        <v>88147.5</v>
      </c>
      <c r="E42" s="615">
        <f>F42+L42+O42+P42+Q42</f>
        <v>85647.5</v>
      </c>
      <c r="F42" s="615">
        <f>I42+J42+K42</f>
        <v>78532</v>
      </c>
      <c r="G42" s="615"/>
      <c r="H42" s="615"/>
      <c r="I42" s="615">
        <v>4832</v>
      </c>
      <c r="J42" s="615"/>
      <c r="K42" s="615">
        <f>68000+5700</f>
        <v>73700</v>
      </c>
      <c r="L42" s="615">
        <f>'37'!N39</f>
        <v>7115.5</v>
      </c>
      <c r="M42" s="615"/>
      <c r="N42" s="615"/>
      <c r="O42" s="615"/>
      <c r="P42" s="615"/>
      <c r="Q42" s="615"/>
      <c r="R42" s="615">
        <f>SUM(S42:U42)</f>
        <v>2500</v>
      </c>
      <c r="S42" s="615">
        <v>2500</v>
      </c>
      <c r="T42" s="615"/>
      <c r="U42" s="615"/>
      <c r="V42" s="615"/>
    </row>
    <row r="43" spans="1:22" ht="33" customHeight="1">
      <c r="A43" s="612">
        <v>9</v>
      </c>
      <c r="B43" s="648" t="s">
        <v>411</v>
      </c>
      <c r="C43" s="614">
        <v>2421</v>
      </c>
      <c r="D43" s="614">
        <f t="shared" si="11"/>
        <v>2421</v>
      </c>
      <c r="E43" s="615">
        <f t="shared" ref="E43" si="14">F43+L43+O43+P43+Q43</f>
        <v>2421</v>
      </c>
      <c r="F43" s="615">
        <f t="shared" ref="F43" si="15">I43+J43+K43</f>
        <v>2421</v>
      </c>
      <c r="G43" s="615"/>
      <c r="H43" s="615"/>
      <c r="I43" s="615"/>
      <c r="J43" s="615"/>
      <c r="K43" s="615">
        <v>2421</v>
      </c>
      <c r="L43" s="615"/>
      <c r="M43" s="615"/>
      <c r="N43" s="615"/>
      <c r="O43" s="615"/>
      <c r="P43" s="615"/>
      <c r="Q43" s="615"/>
      <c r="R43" s="615">
        <f t="shared" ref="R43" si="16">SUM(S43:U43)</f>
        <v>0</v>
      </c>
      <c r="S43" s="615"/>
      <c r="T43" s="615"/>
      <c r="U43" s="615"/>
      <c r="V43" s="615"/>
    </row>
    <row r="44" spans="1:22" ht="39.75" customHeight="1">
      <c r="A44" s="612">
        <v>9</v>
      </c>
      <c r="B44" s="613" t="s">
        <v>410</v>
      </c>
      <c r="C44" s="614">
        <v>2376.79</v>
      </c>
      <c r="D44" s="614">
        <f t="shared" si="11"/>
        <v>1309.29</v>
      </c>
      <c r="E44" s="615">
        <f t="shared" si="6"/>
        <v>1309.29</v>
      </c>
      <c r="F44" s="615">
        <f t="shared" si="5"/>
        <v>0</v>
      </c>
      <c r="G44" s="615"/>
      <c r="H44" s="615"/>
      <c r="I44" s="615"/>
      <c r="J44" s="615"/>
      <c r="K44" s="615"/>
      <c r="L44" s="617">
        <f>'37'!N40</f>
        <v>1309.29</v>
      </c>
      <c r="M44" s="615"/>
      <c r="N44" s="615"/>
      <c r="O44" s="615"/>
      <c r="P44" s="615"/>
      <c r="Q44" s="615"/>
      <c r="R44" s="615">
        <f t="shared" si="7"/>
        <v>0</v>
      </c>
      <c r="S44" s="615"/>
      <c r="T44" s="615"/>
      <c r="U44" s="615"/>
      <c r="V44" s="615"/>
    </row>
    <row r="45" spans="1:22" s="463" customFormat="1" ht="20.25" hidden="1" customHeight="1">
      <c r="A45" s="608" t="s">
        <v>181</v>
      </c>
      <c r="B45" s="609" t="s">
        <v>276</v>
      </c>
      <c r="C45" s="610">
        <v>0</v>
      </c>
      <c r="D45" s="610">
        <f>SUM(D46:D56)</f>
        <v>0</v>
      </c>
      <c r="E45" s="611">
        <f t="shared" ref="E45:V45" si="17">SUM(E46:E56)</f>
        <v>0</v>
      </c>
      <c r="F45" s="611">
        <f t="shared" si="17"/>
        <v>0</v>
      </c>
      <c r="G45" s="611">
        <f t="shared" si="17"/>
        <v>0</v>
      </c>
      <c r="H45" s="611">
        <f t="shared" si="17"/>
        <v>0</v>
      </c>
      <c r="I45" s="611">
        <f t="shared" si="17"/>
        <v>0</v>
      </c>
      <c r="J45" s="611">
        <f t="shared" si="17"/>
        <v>0</v>
      </c>
      <c r="K45" s="611">
        <f t="shared" si="17"/>
        <v>0</v>
      </c>
      <c r="L45" s="611">
        <f t="shared" si="17"/>
        <v>0</v>
      </c>
      <c r="M45" s="611">
        <f t="shared" si="17"/>
        <v>0</v>
      </c>
      <c r="N45" s="611">
        <f t="shared" si="17"/>
        <v>0</v>
      </c>
      <c r="O45" s="611">
        <f t="shared" si="17"/>
        <v>0</v>
      </c>
      <c r="P45" s="611">
        <f t="shared" si="17"/>
        <v>0</v>
      </c>
      <c r="Q45" s="611">
        <f t="shared" si="17"/>
        <v>0</v>
      </c>
      <c r="R45" s="611">
        <f>SUM(R46:R56)</f>
        <v>0</v>
      </c>
      <c r="S45" s="611">
        <f t="shared" si="17"/>
        <v>0</v>
      </c>
      <c r="T45" s="611">
        <f t="shared" si="17"/>
        <v>0</v>
      </c>
      <c r="U45" s="611">
        <f t="shared" si="17"/>
        <v>0</v>
      </c>
      <c r="V45" s="611">
        <f t="shared" si="17"/>
        <v>0</v>
      </c>
    </row>
    <row r="46" spans="1:22" ht="20.25" hidden="1" customHeight="1">
      <c r="A46" s="612"/>
      <c r="B46" s="613"/>
      <c r="C46" s="614"/>
      <c r="D46" s="614"/>
      <c r="E46" s="615"/>
      <c r="F46" s="615"/>
      <c r="G46" s="615"/>
      <c r="H46" s="615"/>
      <c r="I46" s="615"/>
      <c r="J46" s="615"/>
      <c r="K46" s="615"/>
      <c r="L46" s="615"/>
      <c r="M46" s="615"/>
      <c r="N46" s="615"/>
      <c r="O46" s="615"/>
      <c r="P46" s="615"/>
      <c r="Q46" s="615"/>
      <c r="R46" s="615"/>
      <c r="S46" s="615"/>
      <c r="T46" s="615"/>
      <c r="U46" s="615"/>
      <c r="V46" s="615"/>
    </row>
    <row r="47" spans="1:22" ht="20.25" hidden="1" customHeight="1">
      <c r="A47" s="612"/>
      <c r="B47" s="613"/>
      <c r="C47" s="614"/>
      <c r="D47" s="614"/>
      <c r="E47" s="615"/>
      <c r="F47" s="615"/>
      <c r="G47" s="615"/>
      <c r="H47" s="615"/>
      <c r="I47" s="615"/>
      <c r="J47" s="615"/>
      <c r="K47" s="615"/>
      <c r="L47" s="615"/>
      <c r="M47" s="615"/>
      <c r="N47" s="615"/>
      <c r="O47" s="615"/>
      <c r="P47" s="615"/>
      <c r="Q47" s="615"/>
      <c r="R47" s="615"/>
      <c r="S47" s="615"/>
      <c r="T47" s="615"/>
      <c r="U47" s="615"/>
      <c r="V47" s="615"/>
    </row>
    <row r="48" spans="1:22" ht="20.25" hidden="1" customHeight="1">
      <c r="A48" s="612"/>
      <c r="B48" s="613"/>
      <c r="C48" s="614"/>
      <c r="D48" s="614"/>
      <c r="E48" s="615"/>
      <c r="F48" s="615"/>
      <c r="G48" s="615"/>
      <c r="H48" s="615"/>
      <c r="I48" s="615"/>
      <c r="J48" s="615"/>
      <c r="K48" s="615"/>
      <c r="L48" s="615"/>
      <c r="M48" s="615"/>
      <c r="N48" s="615"/>
      <c r="O48" s="615"/>
      <c r="P48" s="615"/>
      <c r="Q48" s="615"/>
      <c r="R48" s="615"/>
      <c r="S48" s="615"/>
      <c r="T48" s="615"/>
      <c r="U48" s="615"/>
      <c r="V48" s="615"/>
    </row>
    <row r="49" spans="1:22" ht="20.25" hidden="1" customHeight="1">
      <c r="A49" s="612"/>
      <c r="B49" s="613"/>
      <c r="C49" s="614"/>
      <c r="D49" s="614"/>
      <c r="E49" s="615"/>
      <c r="F49" s="615"/>
      <c r="G49" s="615"/>
      <c r="H49" s="615"/>
      <c r="I49" s="615"/>
      <c r="J49" s="615"/>
      <c r="K49" s="615"/>
      <c r="L49" s="615"/>
      <c r="M49" s="615"/>
      <c r="N49" s="615"/>
      <c r="O49" s="615"/>
      <c r="P49" s="615"/>
      <c r="Q49" s="615"/>
      <c r="R49" s="615"/>
      <c r="S49" s="615"/>
      <c r="T49" s="615"/>
      <c r="U49" s="615"/>
      <c r="V49" s="615"/>
    </row>
    <row r="50" spans="1:22" ht="20.25" hidden="1" customHeight="1">
      <c r="A50" s="612"/>
      <c r="B50" s="613"/>
      <c r="C50" s="614"/>
      <c r="D50" s="614"/>
      <c r="E50" s="615"/>
      <c r="F50" s="615"/>
      <c r="G50" s="615"/>
      <c r="H50" s="615"/>
      <c r="I50" s="615"/>
      <c r="J50" s="615"/>
      <c r="K50" s="615"/>
      <c r="L50" s="615"/>
      <c r="M50" s="615"/>
      <c r="N50" s="615"/>
      <c r="O50" s="615"/>
      <c r="P50" s="615"/>
      <c r="Q50" s="615"/>
      <c r="R50" s="615"/>
      <c r="S50" s="615"/>
      <c r="T50" s="615"/>
      <c r="U50" s="615"/>
      <c r="V50" s="615"/>
    </row>
    <row r="51" spans="1:22" ht="20.25" hidden="1" customHeight="1">
      <c r="A51" s="612"/>
      <c r="B51" s="613"/>
      <c r="C51" s="614"/>
      <c r="D51" s="614"/>
      <c r="E51" s="615"/>
      <c r="F51" s="615"/>
      <c r="G51" s="615"/>
      <c r="H51" s="615"/>
      <c r="I51" s="615"/>
      <c r="J51" s="615"/>
      <c r="K51" s="615"/>
      <c r="L51" s="615"/>
      <c r="M51" s="615"/>
      <c r="N51" s="615"/>
      <c r="O51" s="615"/>
      <c r="P51" s="615"/>
      <c r="Q51" s="615"/>
      <c r="R51" s="615"/>
      <c r="S51" s="615"/>
      <c r="T51" s="615"/>
      <c r="U51" s="615"/>
      <c r="V51" s="615"/>
    </row>
    <row r="52" spans="1:22" ht="20.25" hidden="1" customHeight="1">
      <c r="A52" s="612"/>
      <c r="B52" s="613"/>
      <c r="C52" s="614"/>
      <c r="D52" s="614"/>
      <c r="E52" s="615"/>
      <c r="F52" s="615"/>
      <c r="G52" s="615"/>
      <c r="H52" s="615"/>
      <c r="I52" s="615"/>
      <c r="J52" s="615"/>
      <c r="K52" s="615"/>
      <c r="L52" s="615"/>
      <c r="M52" s="615"/>
      <c r="N52" s="615"/>
      <c r="O52" s="615"/>
      <c r="P52" s="615"/>
      <c r="Q52" s="615"/>
      <c r="R52" s="615"/>
      <c r="S52" s="615"/>
      <c r="T52" s="615"/>
      <c r="U52" s="615"/>
      <c r="V52" s="615"/>
    </row>
    <row r="53" spans="1:22" ht="20.25" hidden="1" customHeight="1">
      <c r="A53" s="612"/>
      <c r="B53" s="613"/>
      <c r="C53" s="614"/>
      <c r="D53" s="614"/>
      <c r="E53" s="615"/>
      <c r="F53" s="615"/>
      <c r="G53" s="615"/>
      <c r="H53" s="615"/>
      <c r="I53" s="615"/>
      <c r="J53" s="615"/>
      <c r="K53" s="615"/>
      <c r="L53" s="615"/>
      <c r="M53" s="615"/>
      <c r="N53" s="615"/>
      <c r="O53" s="615"/>
      <c r="P53" s="615"/>
      <c r="Q53" s="615"/>
      <c r="R53" s="615"/>
      <c r="S53" s="615"/>
      <c r="T53" s="615"/>
      <c r="U53" s="615"/>
      <c r="V53" s="615"/>
    </row>
    <row r="54" spans="1:22" ht="20.25" hidden="1" customHeight="1">
      <c r="A54" s="612"/>
      <c r="B54" s="613"/>
      <c r="C54" s="614"/>
      <c r="D54" s="614"/>
      <c r="E54" s="615"/>
      <c r="F54" s="615"/>
      <c r="G54" s="615"/>
      <c r="H54" s="615"/>
      <c r="I54" s="615"/>
      <c r="J54" s="615"/>
      <c r="K54" s="615"/>
      <c r="L54" s="615"/>
      <c r="M54" s="615"/>
      <c r="N54" s="615"/>
      <c r="O54" s="615"/>
      <c r="P54" s="615"/>
      <c r="Q54" s="615"/>
      <c r="R54" s="615"/>
      <c r="S54" s="615"/>
      <c r="T54" s="615"/>
      <c r="U54" s="615"/>
      <c r="V54" s="615"/>
    </row>
    <row r="55" spans="1:22" ht="20.25" hidden="1" customHeight="1">
      <c r="A55" s="612"/>
      <c r="B55" s="613"/>
      <c r="C55" s="614"/>
      <c r="D55" s="614"/>
      <c r="E55" s="615"/>
      <c r="F55" s="615"/>
      <c r="G55" s="615"/>
      <c r="H55" s="615"/>
      <c r="I55" s="615"/>
      <c r="J55" s="615"/>
      <c r="K55" s="615"/>
      <c r="L55" s="615"/>
      <c r="M55" s="615"/>
      <c r="N55" s="615"/>
      <c r="O55" s="615"/>
      <c r="P55" s="615"/>
      <c r="Q55" s="615"/>
      <c r="R55" s="615"/>
      <c r="S55" s="615"/>
      <c r="T55" s="615"/>
      <c r="U55" s="615"/>
      <c r="V55" s="615"/>
    </row>
    <row r="56" spans="1:22" ht="20.25" hidden="1" customHeight="1">
      <c r="A56" s="612"/>
      <c r="B56" s="613"/>
      <c r="C56" s="614"/>
      <c r="D56" s="614"/>
      <c r="E56" s="615"/>
      <c r="F56" s="615"/>
      <c r="G56" s="615"/>
      <c r="H56" s="615"/>
      <c r="I56" s="615"/>
      <c r="J56" s="615"/>
      <c r="K56" s="615"/>
      <c r="L56" s="615"/>
      <c r="M56" s="615"/>
      <c r="N56" s="615"/>
      <c r="O56" s="615"/>
      <c r="P56" s="615"/>
      <c r="Q56" s="615"/>
      <c r="R56" s="615"/>
      <c r="S56" s="615"/>
      <c r="T56" s="615"/>
      <c r="U56" s="615"/>
      <c r="V56" s="615"/>
    </row>
    <row r="57" spans="1:22" ht="20.25" customHeight="1">
      <c r="A57" s="608" t="s">
        <v>181</v>
      </c>
      <c r="B57" s="609" t="s">
        <v>280</v>
      </c>
      <c r="C57" s="610">
        <v>5652.7730000000001</v>
      </c>
      <c r="D57" s="610">
        <f t="shared" ref="D57:V57" si="18">SUM(D58:D71)</f>
        <v>5658.893</v>
      </c>
      <c r="E57" s="611">
        <f t="shared" si="18"/>
        <v>5658.893</v>
      </c>
      <c r="F57" s="611">
        <f t="shared" si="18"/>
        <v>0</v>
      </c>
      <c r="G57" s="611">
        <f t="shared" si="18"/>
        <v>0</v>
      </c>
      <c r="H57" s="611">
        <f t="shared" si="18"/>
        <v>0</v>
      </c>
      <c r="I57" s="611">
        <f t="shared" si="18"/>
        <v>0</v>
      </c>
      <c r="J57" s="611">
        <f t="shared" si="18"/>
        <v>0</v>
      </c>
      <c r="K57" s="611">
        <f t="shared" si="18"/>
        <v>0</v>
      </c>
      <c r="L57" s="611">
        <f>SUM(L58:L71)</f>
        <v>5658.893</v>
      </c>
      <c r="M57" s="611">
        <f t="shared" si="18"/>
        <v>0</v>
      </c>
      <c r="N57" s="611">
        <f t="shared" si="18"/>
        <v>0</v>
      </c>
      <c r="O57" s="611">
        <f t="shared" si="18"/>
        <v>0</v>
      </c>
      <c r="P57" s="611">
        <f t="shared" si="18"/>
        <v>0</v>
      </c>
      <c r="Q57" s="611">
        <f t="shared" si="18"/>
        <v>0</v>
      </c>
      <c r="R57" s="611">
        <f t="shared" si="18"/>
        <v>0</v>
      </c>
      <c r="S57" s="611">
        <f t="shared" si="18"/>
        <v>0</v>
      </c>
      <c r="T57" s="611">
        <f t="shared" si="18"/>
        <v>0</v>
      </c>
      <c r="U57" s="611">
        <f t="shared" si="18"/>
        <v>0</v>
      </c>
      <c r="V57" s="611">
        <f t="shared" si="18"/>
        <v>0</v>
      </c>
    </row>
    <row r="58" spans="1:22" ht="20.25" customHeight="1">
      <c r="A58" s="612">
        <v>1</v>
      </c>
      <c r="B58" s="613" t="s">
        <v>281</v>
      </c>
      <c r="C58" s="614">
        <v>1240</v>
      </c>
      <c r="D58" s="614">
        <f t="shared" ref="D58:D75" si="19">E58+R58+V58</f>
        <v>1240</v>
      </c>
      <c r="E58" s="615">
        <f t="shared" si="6"/>
        <v>1240</v>
      </c>
      <c r="F58" s="615">
        <f t="shared" si="5"/>
        <v>0</v>
      </c>
      <c r="G58" s="615"/>
      <c r="H58" s="615"/>
      <c r="I58" s="615"/>
      <c r="J58" s="615"/>
      <c r="K58" s="615"/>
      <c r="L58" s="615">
        <f>'37'!D42</f>
        <v>1240</v>
      </c>
      <c r="M58" s="615"/>
      <c r="N58" s="615"/>
      <c r="O58" s="615"/>
      <c r="P58" s="615"/>
      <c r="Q58" s="615"/>
      <c r="R58" s="615">
        <f t="shared" si="7"/>
        <v>0</v>
      </c>
      <c r="S58" s="615"/>
      <c r="T58" s="615"/>
      <c r="U58" s="615"/>
      <c r="V58" s="615"/>
    </row>
    <row r="59" spans="1:22" ht="20.25" customHeight="1">
      <c r="A59" s="612">
        <v>2</v>
      </c>
      <c r="B59" s="613" t="s">
        <v>282</v>
      </c>
      <c r="C59" s="614">
        <v>2266.7730000000001</v>
      </c>
      <c r="D59" s="614">
        <f t="shared" si="19"/>
        <v>2272.893</v>
      </c>
      <c r="E59" s="615">
        <f t="shared" si="6"/>
        <v>2272.893</v>
      </c>
      <c r="F59" s="615">
        <f t="shared" si="5"/>
        <v>0</v>
      </c>
      <c r="G59" s="615"/>
      <c r="H59" s="615"/>
      <c r="I59" s="615"/>
      <c r="J59" s="615"/>
      <c r="K59" s="615"/>
      <c r="L59" s="617">
        <f>'37'!D43</f>
        <v>2272.893</v>
      </c>
      <c r="M59" s="615"/>
      <c r="N59" s="615"/>
      <c r="O59" s="615"/>
      <c r="P59" s="615"/>
      <c r="Q59" s="615"/>
      <c r="R59" s="615">
        <f t="shared" si="7"/>
        <v>0</v>
      </c>
      <c r="S59" s="615"/>
      <c r="T59" s="615"/>
      <c r="U59" s="615"/>
      <c r="V59" s="615"/>
    </row>
    <row r="60" spans="1:22" ht="20.25" customHeight="1">
      <c r="A60" s="612">
        <v>3</v>
      </c>
      <c r="B60" s="613" t="s">
        <v>283</v>
      </c>
      <c r="C60" s="614">
        <v>50</v>
      </c>
      <c r="D60" s="614">
        <f t="shared" si="19"/>
        <v>50</v>
      </c>
      <c r="E60" s="615">
        <f t="shared" si="6"/>
        <v>50</v>
      </c>
      <c r="F60" s="615">
        <f t="shared" si="5"/>
        <v>0</v>
      </c>
      <c r="G60" s="615"/>
      <c r="H60" s="615"/>
      <c r="I60" s="615"/>
      <c r="J60" s="615"/>
      <c r="K60" s="615"/>
      <c r="L60" s="615">
        <f>50</f>
        <v>50</v>
      </c>
      <c r="M60" s="615"/>
      <c r="N60" s="615"/>
      <c r="O60" s="615"/>
      <c r="P60" s="615"/>
      <c r="Q60" s="615"/>
      <c r="R60" s="615">
        <f t="shared" si="7"/>
        <v>0</v>
      </c>
      <c r="S60" s="615"/>
      <c r="T60" s="615"/>
      <c r="U60" s="615"/>
      <c r="V60" s="615"/>
    </row>
    <row r="61" spans="1:22" ht="20.25" customHeight="1">
      <c r="A61" s="612">
        <v>4</v>
      </c>
      <c r="B61" s="613" t="s">
        <v>284</v>
      </c>
      <c r="C61" s="614">
        <v>30</v>
      </c>
      <c r="D61" s="614">
        <f t="shared" si="19"/>
        <v>30</v>
      </c>
      <c r="E61" s="615">
        <f t="shared" si="6"/>
        <v>30</v>
      </c>
      <c r="F61" s="615">
        <f t="shared" si="5"/>
        <v>0</v>
      </c>
      <c r="G61" s="615"/>
      <c r="H61" s="615"/>
      <c r="I61" s="615"/>
      <c r="J61" s="615"/>
      <c r="K61" s="615"/>
      <c r="L61" s="615">
        <v>30</v>
      </c>
      <c r="M61" s="615"/>
      <c r="N61" s="615"/>
      <c r="O61" s="615"/>
      <c r="P61" s="615"/>
      <c r="Q61" s="615"/>
      <c r="R61" s="615">
        <f t="shared" si="7"/>
        <v>0</v>
      </c>
      <c r="S61" s="615"/>
      <c r="T61" s="615"/>
      <c r="U61" s="615"/>
      <c r="V61" s="615"/>
    </row>
    <row r="62" spans="1:22" ht="20.25" customHeight="1">
      <c r="A62" s="612">
        <v>5</v>
      </c>
      <c r="B62" s="613" t="s">
        <v>285</v>
      </c>
      <c r="C62" s="614">
        <v>50</v>
      </c>
      <c r="D62" s="614">
        <f t="shared" si="19"/>
        <v>50</v>
      </c>
      <c r="E62" s="615">
        <f t="shared" si="6"/>
        <v>50</v>
      </c>
      <c r="F62" s="615">
        <f t="shared" si="5"/>
        <v>0</v>
      </c>
      <c r="G62" s="615"/>
      <c r="H62" s="615"/>
      <c r="I62" s="615"/>
      <c r="J62" s="615"/>
      <c r="K62" s="615"/>
      <c r="L62" s="615">
        <v>50</v>
      </c>
      <c r="M62" s="615"/>
      <c r="N62" s="615"/>
      <c r="O62" s="615"/>
      <c r="P62" s="615"/>
      <c r="Q62" s="615"/>
      <c r="R62" s="615">
        <f t="shared" si="7"/>
        <v>0</v>
      </c>
      <c r="S62" s="615"/>
      <c r="T62" s="615"/>
      <c r="U62" s="615"/>
      <c r="V62" s="615"/>
    </row>
    <row r="63" spans="1:22" ht="20.25" customHeight="1">
      <c r="A63" s="612">
        <v>6</v>
      </c>
      <c r="B63" s="613" t="s">
        <v>290</v>
      </c>
      <c r="C63" s="614">
        <v>370</v>
      </c>
      <c r="D63" s="614">
        <f t="shared" si="19"/>
        <v>370</v>
      </c>
      <c r="E63" s="615">
        <f>F63+L63+O63+P63+Q63</f>
        <v>370</v>
      </c>
      <c r="F63" s="615">
        <f>I63+J63+K63</f>
        <v>0</v>
      </c>
      <c r="G63" s="615"/>
      <c r="H63" s="615"/>
      <c r="I63" s="615"/>
      <c r="J63" s="615"/>
      <c r="K63" s="615"/>
      <c r="L63" s="615">
        <v>370</v>
      </c>
      <c r="M63" s="615"/>
      <c r="N63" s="615"/>
      <c r="O63" s="615"/>
      <c r="P63" s="615"/>
      <c r="Q63" s="615"/>
      <c r="R63" s="615">
        <f>SUM(S63:U63)</f>
        <v>0</v>
      </c>
      <c r="S63" s="615"/>
      <c r="T63" s="615"/>
      <c r="U63" s="615"/>
      <c r="V63" s="615"/>
    </row>
    <row r="64" spans="1:22" ht="20.25" customHeight="1">
      <c r="A64" s="612">
        <v>7</v>
      </c>
      <c r="B64" s="613" t="s">
        <v>286</v>
      </c>
      <c r="C64" s="614">
        <v>16</v>
      </c>
      <c r="D64" s="614">
        <f t="shared" si="19"/>
        <v>16</v>
      </c>
      <c r="E64" s="615">
        <f>F64+L64+O64+P64+Q64</f>
        <v>16</v>
      </c>
      <c r="F64" s="615">
        <f>I64+J64+K64</f>
        <v>0</v>
      </c>
      <c r="G64" s="615"/>
      <c r="H64" s="615"/>
      <c r="I64" s="615"/>
      <c r="J64" s="615"/>
      <c r="K64" s="615"/>
      <c r="L64" s="615">
        <v>16</v>
      </c>
      <c r="M64" s="615"/>
      <c r="N64" s="615"/>
      <c r="O64" s="615"/>
      <c r="P64" s="615"/>
      <c r="Q64" s="615"/>
      <c r="R64" s="615">
        <f>SUM(S64:U64)</f>
        <v>0</v>
      </c>
      <c r="S64" s="615"/>
      <c r="T64" s="615"/>
      <c r="U64" s="615"/>
      <c r="V64" s="615"/>
    </row>
    <row r="65" spans="1:22" ht="36" customHeight="1">
      <c r="A65" s="612">
        <v>8</v>
      </c>
      <c r="B65" s="613" t="s">
        <v>338</v>
      </c>
      <c r="C65" s="614">
        <v>30</v>
      </c>
      <c r="D65" s="614">
        <f t="shared" si="19"/>
        <v>30</v>
      </c>
      <c r="E65" s="615">
        <f t="shared" si="6"/>
        <v>30</v>
      </c>
      <c r="F65" s="615">
        <f t="shared" si="5"/>
        <v>0</v>
      </c>
      <c r="G65" s="615"/>
      <c r="H65" s="615"/>
      <c r="I65" s="615"/>
      <c r="J65" s="615"/>
      <c r="K65" s="615"/>
      <c r="L65" s="615">
        <v>30</v>
      </c>
      <c r="M65" s="615"/>
      <c r="N65" s="615"/>
      <c r="O65" s="615"/>
      <c r="P65" s="615"/>
      <c r="Q65" s="615"/>
      <c r="R65" s="615">
        <f t="shared" si="7"/>
        <v>0</v>
      </c>
      <c r="S65" s="615"/>
      <c r="T65" s="615"/>
      <c r="U65" s="615"/>
      <c r="V65" s="615"/>
    </row>
    <row r="66" spans="1:22" ht="20.25" customHeight="1">
      <c r="A66" s="612">
        <v>9</v>
      </c>
      <c r="B66" s="613" t="s">
        <v>291</v>
      </c>
      <c r="C66" s="614">
        <v>1500</v>
      </c>
      <c r="D66" s="614">
        <f t="shared" si="19"/>
        <v>1500</v>
      </c>
      <c r="E66" s="615">
        <f t="shared" si="6"/>
        <v>1500</v>
      </c>
      <c r="F66" s="615">
        <f t="shared" si="5"/>
        <v>0</v>
      </c>
      <c r="G66" s="615"/>
      <c r="H66" s="615"/>
      <c r="I66" s="615"/>
      <c r="J66" s="615"/>
      <c r="K66" s="615"/>
      <c r="L66" s="615">
        <v>1500</v>
      </c>
      <c r="M66" s="615"/>
      <c r="N66" s="615"/>
      <c r="O66" s="615"/>
      <c r="P66" s="615"/>
      <c r="Q66" s="615"/>
      <c r="R66" s="615">
        <f t="shared" si="7"/>
        <v>0</v>
      </c>
      <c r="S66" s="615"/>
      <c r="T66" s="615"/>
      <c r="U66" s="615"/>
      <c r="V66" s="615"/>
    </row>
    <row r="67" spans="1:22" ht="49.5" customHeight="1">
      <c r="A67" s="612">
        <v>10</v>
      </c>
      <c r="B67" s="618" t="s">
        <v>379</v>
      </c>
      <c r="C67" s="614">
        <v>100</v>
      </c>
      <c r="D67" s="614">
        <f t="shared" si="19"/>
        <v>100</v>
      </c>
      <c r="E67" s="615">
        <f t="shared" si="6"/>
        <v>100</v>
      </c>
      <c r="F67" s="615">
        <f t="shared" si="5"/>
        <v>0</v>
      </c>
      <c r="G67" s="615"/>
      <c r="H67" s="615"/>
      <c r="I67" s="615"/>
      <c r="J67" s="615"/>
      <c r="K67" s="615"/>
      <c r="L67" s="615">
        <v>100</v>
      </c>
      <c r="M67" s="615"/>
      <c r="N67" s="615"/>
      <c r="O67" s="615"/>
      <c r="P67" s="615"/>
      <c r="Q67" s="615"/>
      <c r="R67" s="615">
        <f t="shared" si="7"/>
        <v>0</v>
      </c>
      <c r="S67" s="615"/>
      <c r="T67" s="615"/>
      <c r="U67" s="615"/>
      <c r="V67" s="615"/>
    </row>
    <row r="68" spans="1:22" ht="36" hidden="1" customHeight="1">
      <c r="A68" s="612">
        <v>11</v>
      </c>
      <c r="B68" s="613" t="s">
        <v>287</v>
      </c>
      <c r="C68" s="614">
        <v>0</v>
      </c>
      <c r="D68" s="614">
        <f t="shared" si="19"/>
        <v>0</v>
      </c>
      <c r="E68" s="615">
        <f t="shared" si="6"/>
        <v>0</v>
      </c>
      <c r="F68" s="615">
        <f t="shared" si="5"/>
        <v>0</v>
      </c>
      <c r="G68" s="615"/>
      <c r="H68" s="615"/>
      <c r="I68" s="615"/>
      <c r="J68" s="615"/>
      <c r="K68" s="615"/>
      <c r="L68" s="615"/>
      <c r="M68" s="615"/>
      <c r="N68" s="615"/>
      <c r="O68" s="615"/>
      <c r="P68" s="615"/>
      <c r="Q68" s="615"/>
      <c r="R68" s="615">
        <f t="shared" si="7"/>
        <v>0</v>
      </c>
      <c r="S68" s="615"/>
      <c r="T68" s="615"/>
      <c r="U68" s="615"/>
      <c r="V68" s="615"/>
    </row>
    <row r="69" spans="1:22" ht="20.25" hidden="1" customHeight="1">
      <c r="A69" s="612">
        <v>12</v>
      </c>
      <c r="B69" s="613" t="s">
        <v>288</v>
      </c>
      <c r="C69" s="614">
        <v>0</v>
      </c>
      <c r="D69" s="614">
        <f t="shared" si="19"/>
        <v>0</v>
      </c>
      <c r="E69" s="615">
        <f t="shared" si="6"/>
        <v>0</v>
      </c>
      <c r="F69" s="615">
        <f t="shared" si="5"/>
        <v>0</v>
      </c>
      <c r="G69" s="615"/>
      <c r="H69" s="615"/>
      <c r="I69" s="615"/>
      <c r="J69" s="615"/>
      <c r="K69" s="615"/>
      <c r="L69" s="615"/>
      <c r="M69" s="615"/>
      <c r="N69" s="615"/>
      <c r="O69" s="615"/>
      <c r="P69" s="615"/>
      <c r="Q69" s="615"/>
      <c r="R69" s="615">
        <f t="shared" si="7"/>
        <v>0</v>
      </c>
      <c r="S69" s="615"/>
      <c r="T69" s="615"/>
      <c r="U69" s="615"/>
      <c r="V69" s="615"/>
    </row>
    <row r="70" spans="1:22" ht="20.25" hidden="1" customHeight="1">
      <c r="A70" s="612">
        <v>13</v>
      </c>
      <c r="B70" s="613" t="s">
        <v>289</v>
      </c>
      <c r="C70" s="614">
        <v>0</v>
      </c>
      <c r="D70" s="614">
        <f t="shared" si="19"/>
        <v>0</v>
      </c>
      <c r="E70" s="615">
        <f t="shared" si="6"/>
        <v>0</v>
      </c>
      <c r="F70" s="615">
        <f t="shared" si="5"/>
        <v>0</v>
      </c>
      <c r="G70" s="615"/>
      <c r="H70" s="615"/>
      <c r="I70" s="615"/>
      <c r="J70" s="615"/>
      <c r="K70" s="615"/>
      <c r="L70" s="615"/>
      <c r="M70" s="615"/>
      <c r="N70" s="615"/>
      <c r="O70" s="615"/>
      <c r="P70" s="615"/>
      <c r="Q70" s="615"/>
      <c r="R70" s="615">
        <f t="shared" si="7"/>
        <v>0</v>
      </c>
      <c r="S70" s="615"/>
      <c r="T70" s="615"/>
      <c r="U70" s="615"/>
      <c r="V70" s="615"/>
    </row>
    <row r="71" spans="1:22" ht="20.25" hidden="1" customHeight="1">
      <c r="A71" s="612">
        <v>14</v>
      </c>
      <c r="B71" s="613" t="s">
        <v>292</v>
      </c>
      <c r="C71" s="614">
        <v>0</v>
      </c>
      <c r="D71" s="614">
        <f t="shared" si="19"/>
        <v>0</v>
      </c>
      <c r="E71" s="615">
        <f t="shared" si="6"/>
        <v>0</v>
      </c>
      <c r="F71" s="615">
        <f t="shared" si="5"/>
        <v>0</v>
      </c>
      <c r="G71" s="615"/>
      <c r="H71" s="615"/>
      <c r="I71" s="615"/>
      <c r="J71" s="615"/>
      <c r="K71" s="615"/>
      <c r="L71" s="615"/>
      <c r="M71" s="615"/>
      <c r="N71" s="615"/>
      <c r="O71" s="615"/>
      <c r="P71" s="615"/>
      <c r="Q71" s="615"/>
      <c r="R71" s="615">
        <f t="shared" si="7"/>
        <v>0</v>
      </c>
      <c r="S71" s="615"/>
      <c r="T71" s="615"/>
      <c r="U71" s="615"/>
      <c r="V71" s="615"/>
    </row>
    <row r="72" spans="1:22" s="463" customFormat="1" ht="37.5" customHeight="1">
      <c r="A72" s="608" t="s">
        <v>26</v>
      </c>
      <c r="B72" s="609" t="s">
        <v>293</v>
      </c>
      <c r="C72" s="610">
        <v>0</v>
      </c>
      <c r="D72" s="610">
        <f t="shared" si="19"/>
        <v>0</v>
      </c>
      <c r="E72" s="611">
        <f t="shared" si="6"/>
        <v>0</v>
      </c>
      <c r="F72" s="611">
        <f t="shared" si="5"/>
        <v>0</v>
      </c>
      <c r="G72" s="611"/>
      <c r="H72" s="611"/>
      <c r="I72" s="611"/>
      <c r="J72" s="611"/>
      <c r="K72" s="611"/>
      <c r="L72" s="611"/>
      <c r="M72" s="611"/>
      <c r="N72" s="611"/>
      <c r="O72" s="611"/>
      <c r="P72" s="611"/>
      <c r="Q72" s="611"/>
      <c r="R72" s="615">
        <f t="shared" si="7"/>
        <v>0</v>
      </c>
      <c r="S72" s="611"/>
      <c r="T72" s="611"/>
      <c r="U72" s="611"/>
      <c r="V72" s="611"/>
    </row>
    <row r="73" spans="1:22" s="463" customFormat="1" ht="33.75" customHeight="1">
      <c r="A73" s="608" t="s">
        <v>32</v>
      </c>
      <c r="B73" s="609" t="s">
        <v>294</v>
      </c>
      <c r="C73" s="610">
        <v>0</v>
      </c>
      <c r="D73" s="610">
        <f t="shared" si="19"/>
        <v>0</v>
      </c>
      <c r="E73" s="611">
        <f t="shared" si="6"/>
        <v>0</v>
      </c>
      <c r="F73" s="611">
        <f t="shared" si="5"/>
        <v>0</v>
      </c>
      <c r="G73" s="611"/>
      <c r="H73" s="611"/>
      <c r="I73" s="611"/>
      <c r="J73" s="611"/>
      <c r="K73" s="611"/>
      <c r="L73" s="611"/>
      <c r="M73" s="611"/>
      <c r="N73" s="611"/>
      <c r="O73" s="611"/>
      <c r="P73" s="611"/>
      <c r="Q73" s="611"/>
      <c r="R73" s="615">
        <f t="shared" si="7"/>
        <v>0</v>
      </c>
      <c r="S73" s="611"/>
      <c r="T73" s="611"/>
      <c r="U73" s="611"/>
      <c r="V73" s="611"/>
    </row>
    <row r="74" spans="1:22" s="463" customFormat="1" ht="24.75" customHeight="1">
      <c r="A74" s="608" t="s">
        <v>64</v>
      </c>
      <c r="B74" s="609" t="s">
        <v>100</v>
      </c>
      <c r="C74" s="610">
        <v>5849</v>
      </c>
      <c r="D74" s="610">
        <f t="shared" si="19"/>
        <v>5849</v>
      </c>
      <c r="E74" s="611">
        <f t="shared" si="6"/>
        <v>5849</v>
      </c>
      <c r="F74" s="611">
        <f t="shared" si="5"/>
        <v>0</v>
      </c>
      <c r="G74" s="611"/>
      <c r="H74" s="611"/>
      <c r="I74" s="611"/>
      <c r="J74" s="611"/>
      <c r="K74" s="611"/>
      <c r="L74" s="611"/>
      <c r="M74" s="611"/>
      <c r="N74" s="611"/>
      <c r="O74" s="611"/>
      <c r="P74" s="611">
        <v>5849</v>
      </c>
      <c r="Q74" s="611"/>
      <c r="R74" s="615">
        <f t="shared" si="7"/>
        <v>0</v>
      </c>
      <c r="S74" s="611"/>
      <c r="T74" s="611"/>
      <c r="U74" s="611"/>
      <c r="V74" s="611"/>
    </row>
    <row r="75" spans="1:22" s="463" customFormat="1" ht="30.75" customHeight="1">
      <c r="A75" s="608" t="s">
        <v>66</v>
      </c>
      <c r="B75" s="609" t="s">
        <v>101</v>
      </c>
      <c r="C75" s="610">
        <v>5355</v>
      </c>
      <c r="D75" s="610">
        <f t="shared" si="19"/>
        <v>10261.5</v>
      </c>
      <c r="E75" s="611">
        <f t="shared" si="6"/>
        <v>10261.5</v>
      </c>
      <c r="F75" s="611">
        <f t="shared" si="5"/>
        <v>0</v>
      </c>
      <c r="G75" s="611"/>
      <c r="H75" s="611"/>
      <c r="I75" s="611"/>
      <c r="J75" s="611"/>
      <c r="K75" s="611"/>
      <c r="L75" s="611"/>
      <c r="M75" s="611"/>
      <c r="N75" s="611"/>
      <c r="O75" s="611"/>
      <c r="P75" s="611"/>
      <c r="Q75" s="611">
        <f>'37'!Q64</f>
        <v>10261.5</v>
      </c>
      <c r="R75" s="615">
        <f t="shared" si="7"/>
        <v>0</v>
      </c>
      <c r="S75" s="611"/>
      <c r="T75" s="611"/>
      <c r="U75" s="611"/>
      <c r="V75" s="611"/>
    </row>
    <row r="76" spans="1:22" s="463" customFormat="1" ht="39" customHeight="1">
      <c r="A76" s="608" t="s">
        <v>68</v>
      </c>
      <c r="B76" s="609" t="s">
        <v>295</v>
      </c>
      <c r="C76" s="610">
        <v>69024.778999999995</v>
      </c>
      <c r="D76" s="610">
        <f>SUM(D77:D87)</f>
        <v>69249.739999999991</v>
      </c>
      <c r="E76" s="611">
        <f t="shared" ref="E76:V76" si="20">SUM(E77:E87)</f>
        <v>69198.739999999991</v>
      </c>
      <c r="F76" s="611">
        <f t="shared" si="20"/>
        <v>8640</v>
      </c>
      <c r="G76" s="611">
        <f t="shared" si="20"/>
        <v>0</v>
      </c>
      <c r="H76" s="611">
        <f t="shared" si="20"/>
        <v>0</v>
      </c>
      <c r="I76" s="611">
        <f t="shared" si="20"/>
        <v>0</v>
      </c>
      <c r="J76" s="611">
        <f t="shared" si="20"/>
        <v>0</v>
      </c>
      <c r="K76" s="611">
        <f t="shared" si="20"/>
        <v>8640</v>
      </c>
      <c r="L76" s="649">
        <f t="shared" si="20"/>
        <v>59344.74</v>
      </c>
      <c r="M76" s="611">
        <f t="shared" si="20"/>
        <v>348</v>
      </c>
      <c r="N76" s="611">
        <f t="shared" si="20"/>
        <v>0</v>
      </c>
      <c r="O76" s="611">
        <f t="shared" si="20"/>
        <v>0</v>
      </c>
      <c r="P76" s="610">
        <f t="shared" si="20"/>
        <v>1214</v>
      </c>
      <c r="Q76" s="611">
        <f t="shared" si="20"/>
        <v>0</v>
      </c>
      <c r="R76" s="610">
        <f t="shared" si="20"/>
        <v>51</v>
      </c>
      <c r="S76" s="611">
        <f t="shared" si="20"/>
        <v>0</v>
      </c>
      <c r="T76" s="611">
        <f t="shared" si="20"/>
        <v>51</v>
      </c>
      <c r="U76" s="611">
        <f t="shared" si="20"/>
        <v>0</v>
      </c>
      <c r="V76" s="611">
        <f t="shared" si="20"/>
        <v>0</v>
      </c>
    </row>
    <row r="77" spans="1:22" ht="20.25" customHeight="1">
      <c r="A77" s="612">
        <v>1</v>
      </c>
      <c r="B77" s="613" t="s">
        <v>277</v>
      </c>
      <c r="C77" s="614">
        <v>8412.1980000000003</v>
      </c>
      <c r="D77" s="614">
        <f t="shared" ref="D77:D88" si="21">E77+R77+V77</f>
        <v>8443.3189999999995</v>
      </c>
      <c r="E77" s="615">
        <f>F77+L77+O77+P77+Q77</f>
        <v>8443.3189999999995</v>
      </c>
      <c r="F77" s="615">
        <f>I77+J77+K77</f>
        <v>3500</v>
      </c>
      <c r="G77" s="615"/>
      <c r="H77" s="615"/>
      <c r="I77" s="615"/>
      <c r="J77" s="615"/>
      <c r="K77" s="615">
        <v>3500</v>
      </c>
      <c r="L77" s="615">
        <v>4827.3189999999995</v>
      </c>
      <c r="M77" s="615">
        <f>40-10</f>
        <v>30</v>
      </c>
      <c r="N77" s="615"/>
      <c r="O77" s="615"/>
      <c r="P77" s="615">
        <v>116</v>
      </c>
      <c r="Q77" s="615"/>
      <c r="R77" s="614">
        <f t="shared" ref="R77:R87" si="22">SUM(S77:U77)</f>
        <v>0</v>
      </c>
      <c r="S77" s="615"/>
      <c r="T77" s="615"/>
      <c r="U77" s="615"/>
      <c r="V77" s="615"/>
    </row>
    <row r="78" spans="1:22" ht="20.25" customHeight="1">
      <c r="A78" s="612">
        <v>2</v>
      </c>
      <c r="B78" s="613" t="s">
        <v>159</v>
      </c>
      <c r="C78" s="614">
        <v>4320.1899999999996</v>
      </c>
      <c r="D78" s="614">
        <f t="shared" si="21"/>
        <v>4328.9400000000005</v>
      </c>
      <c r="E78" s="615">
        <f>F78+L78+O78+P78+Q78</f>
        <v>4328.9400000000005</v>
      </c>
      <c r="F78" s="615">
        <f t="shared" ref="F78:F88" si="23">I78+J78+K78</f>
        <v>10</v>
      </c>
      <c r="G78" s="615"/>
      <c r="H78" s="615"/>
      <c r="I78" s="615"/>
      <c r="J78" s="615"/>
      <c r="K78" s="615">
        <v>10</v>
      </c>
      <c r="L78" s="615">
        <v>4234.9400000000005</v>
      </c>
      <c r="M78" s="615">
        <f>30-5</f>
        <v>25</v>
      </c>
      <c r="N78" s="615"/>
      <c r="O78" s="615"/>
      <c r="P78" s="615">
        <v>84</v>
      </c>
      <c r="Q78" s="615"/>
      <c r="R78" s="614">
        <f t="shared" si="22"/>
        <v>0</v>
      </c>
      <c r="S78" s="615"/>
      <c r="T78" s="614"/>
      <c r="U78" s="615"/>
      <c r="V78" s="615"/>
    </row>
    <row r="79" spans="1:22" ht="20.25" customHeight="1">
      <c r="A79" s="612">
        <v>3</v>
      </c>
      <c r="B79" s="613" t="s">
        <v>160</v>
      </c>
      <c r="C79" s="614">
        <v>4422.9129999999996</v>
      </c>
      <c r="D79" s="614">
        <f t="shared" si="21"/>
        <v>4472.6229999999996</v>
      </c>
      <c r="E79" s="615">
        <f t="shared" ref="E79:E87" si="24">F79+L79+O79+P79+Q79</f>
        <v>4472.6229999999996</v>
      </c>
      <c r="F79" s="615">
        <f t="shared" si="23"/>
        <v>10</v>
      </c>
      <c r="G79" s="615"/>
      <c r="H79" s="615"/>
      <c r="I79" s="615"/>
      <c r="J79" s="615"/>
      <c r="K79" s="615">
        <v>10</v>
      </c>
      <c r="L79" s="615">
        <v>4376.6229999999996</v>
      </c>
      <c r="M79" s="615">
        <f>35-5</f>
        <v>30</v>
      </c>
      <c r="N79" s="615"/>
      <c r="O79" s="615"/>
      <c r="P79" s="615">
        <v>86</v>
      </c>
      <c r="Q79" s="615"/>
      <c r="R79" s="614">
        <f t="shared" si="22"/>
        <v>0</v>
      </c>
      <c r="S79" s="615"/>
      <c r="T79" s="614"/>
      <c r="U79" s="615"/>
      <c r="V79" s="615"/>
    </row>
    <row r="80" spans="1:22" ht="20.25" customHeight="1">
      <c r="A80" s="612">
        <v>4</v>
      </c>
      <c r="B80" s="613" t="s">
        <v>158</v>
      </c>
      <c r="C80" s="614">
        <v>4299.2969999999996</v>
      </c>
      <c r="D80" s="614">
        <f t="shared" si="21"/>
        <v>4308.7969999999996</v>
      </c>
      <c r="E80" s="615">
        <f t="shared" si="24"/>
        <v>4308.7969999999996</v>
      </c>
      <c r="F80" s="615">
        <f t="shared" si="23"/>
        <v>10</v>
      </c>
      <c r="G80" s="615"/>
      <c r="H80" s="615"/>
      <c r="I80" s="615"/>
      <c r="J80" s="615"/>
      <c r="K80" s="615">
        <v>10</v>
      </c>
      <c r="L80" s="615">
        <v>4214.7969999999996</v>
      </c>
      <c r="M80" s="615">
        <f>15-5</f>
        <v>10</v>
      </c>
      <c r="N80" s="615"/>
      <c r="O80" s="615"/>
      <c r="P80" s="615">
        <v>84</v>
      </c>
      <c r="Q80" s="615"/>
      <c r="R80" s="614">
        <f t="shared" si="22"/>
        <v>0</v>
      </c>
      <c r="S80" s="615"/>
      <c r="T80" s="614"/>
      <c r="U80" s="615"/>
      <c r="V80" s="615"/>
    </row>
    <row r="81" spans="1:22" ht="20.25" customHeight="1">
      <c r="A81" s="612">
        <v>5</v>
      </c>
      <c r="B81" s="613" t="s">
        <v>161</v>
      </c>
      <c r="C81" s="614">
        <v>5516.5659999999998</v>
      </c>
      <c r="D81" s="614">
        <f t="shared" si="21"/>
        <v>5554.5159999999996</v>
      </c>
      <c r="E81" s="615">
        <f t="shared" si="24"/>
        <v>5554.5159999999996</v>
      </c>
      <c r="F81" s="615">
        <f t="shared" si="23"/>
        <v>20</v>
      </c>
      <c r="G81" s="615"/>
      <c r="H81" s="615"/>
      <c r="I81" s="615"/>
      <c r="J81" s="615"/>
      <c r="K81" s="615">
        <v>20</v>
      </c>
      <c r="L81" s="615">
        <v>5426.5159999999996</v>
      </c>
      <c r="M81" s="615">
        <f>50-10</f>
        <v>40</v>
      </c>
      <c r="N81" s="615"/>
      <c r="O81" s="615"/>
      <c r="P81" s="615">
        <v>108</v>
      </c>
      <c r="Q81" s="615"/>
      <c r="R81" s="614">
        <f t="shared" si="22"/>
        <v>0</v>
      </c>
      <c r="S81" s="615"/>
      <c r="T81" s="614"/>
      <c r="U81" s="615"/>
      <c r="V81" s="615"/>
    </row>
    <row r="82" spans="1:22" ht="20.25" customHeight="1">
      <c r="A82" s="612">
        <v>6</v>
      </c>
      <c r="B82" s="613" t="s">
        <v>162</v>
      </c>
      <c r="C82" s="614">
        <v>4783.3999999999996</v>
      </c>
      <c r="D82" s="614">
        <f t="shared" si="21"/>
        <v>4793.6799999999994</v>
      </c>
      <c r="E82" s="615">
        <f t="shared" si="24"/>
        <v>4793.6799999999994</v>
      </c>
      <c r="F82" s="615">
        <f t="shared" si="23"/>
        <v>65</v>
      </c>
      <c r="G82" s="615"/>
      <c r="H82" s="615"/>
      <c r="I82" s="615"/>
      <c r="J82" s="615"/>
      <c r="K82" s="615">
        <v>65</v>
      </c>
      <c r="L82" s="615">
        <v>4635.6799999999994</v>
      </c>
      <c r="M82" s="615">
        <f>50-5</f>
        <v>45</v>
      </c>
      <c r="N82" s="615"/>
      <c r="O82" s="615"/>
      <c r="P82" s="615">
        <v>93</v>
      </c>
      <c r="Q82" s="615"/>
      <c r="R82" s="614">
        <f t="shared" si="22"/>
        <v>0</v>
      </c>
      <c r="S82" s="615"/>
      <c r="T82" s="614"/>
      <c r="U82" s="615"/>
      <c r="V82" s="615"/>
    </row>
    <row r="83" spans="1:22" ht="20.25" customHeight="1">
      <c r="A83" s="612">
        <v>7</v>
      </c>
      <c r="B83" s="613" t="s">
        <v>278</v>
      </c>
      <c r="C83" s="614">
        <v>4636.9620000000004</v>
      </c>
      <c r="D83" s="614">
        <f t="shared" si="21"/>
        <v>4648.7315000000008</v>
      </c>
      <c r="E83" s="615">
        <f t="shared" si="24"/>
        <v>4648.7315000000008</v>
      </c>
      <c r="F83" s="615">
        <f t="shared" si="23"/>
        <v>0</v>
      </c>
      <c r="G83" s="615"/>
      <c r="H83" s="615"/>
      <c r="I83" s="615"/>
      <c r="J83" s="615"/>
      <c r="K83" s="615">
        <f>0</f>
        <v>0</v>
      </c>
      <c r="L83" s="615">
        <v>4557.7315000000008</v>
      </c>
      <c r="M83" s="615">
        <f>30-5</f>
        <v>25</v>
      </c>
      <c r="N83" s="615"/>
      <c r="O83" s="615"/>
      <c r="P83" s="615">
        <v>91</v>
      </c>
      <c r="Q83" s="615"/>
      <c r="R83" s="614">
        <f t="shared" si="22"/>
        <v>0</v>
      </c>
      <c r="S83" s="615"/>
      <c r="T83" s="614"/>
      <c r="U83" s="615"/>
      <c r="V83" s="615"/>
    </row>
    <row r="84" spans="1:22" ht="20.25" customHeight="1">
      <c r="A84" s="612">
        <v>8</v>
      </c>
      <c r="B84" s="613" t="s">
        <v>163</v>
      </c>
      <c r="C84" s="614">
        <v>6789.96</v>
      </c>
      <c r="D84" s="614">
        <f t="shared" si="21"/>
        <v>6829.0205000000005</v>
      </c>
      <c r="E84" s="615">
        <f>F84+L84+O84+P84+Q84</f>
        <v>6778.0205000000005</v>
      </c>
      <c r="F84" s="615">
        <f t="shared" si="23"/>
        <v>10</v>
      </c>
      <c r="G84" s="615"/>
      <c r="H84" s="615"/>
      <c r="I84" s="615"/>
      <c r="J84" s="615"/>
      <c r="K84" s="615">
        <v>10</v>
      </c>
      <c r="L84" s="615">
        <v>6636.0205000000005</v>
      </c>
      <c r="M84" s="615">
        <f>50-10</f>
        <v>40</v>
      </c>
      <c r="N84" s="615"/>
      <c r="O84" s="615"/>
      <c r="P84" s="615">
        <v>132</v>
      </c>
      <c r="Q84" s="615"/>
      <c r="R84" s="614">
        <f t="shared" si="22"/>
        <v>51</v>
      </c>
      <c r="S84" s="615"/>
      <c r="T84" s="615">
        <v>51</v>
      </c>
      <c r="U84" s="615"/>
      <c r="V84" s="615"/>
    </row>
    <row r="85" spans="1:22" ht="20.25" customHeight="1">
      <c r="A85" s="612">
        <v>9</v>
      </c>
      <c r="B85" s="613" t="s">
        <v>167</v>
      </c>
      <c r="C85" s="614">
        <v>6954.616</v>
      </c>
      <c r="D85" s="614">
        <f t="shared" si="21"/>
        <v>6964.8959999999997</v>
      </c>
      <c r="E85" s="615">
        <f t="shared" si="24"/>
        <v>6964.8959999999997</v>
      </c>
      <c r="F85" s="615">
        <f t="shared" si="23"/>
        <v>10</v>
      </c>
      <c r="G85" s="615"/>
      <c r="H85" s="615"/>
      <c r="I85" s="615"/>
      <c r="J85" s="615"/>
      <c r="K85" s="615">
        <v>10</v>
      </c>
      <c r="L85" s="615">
        <v>6818.8959999999997</v>
      </c>
      <c r="M85" s="615">
        <f>35-5</f>
        <v>30</v>
      </c>
      <c r="N85" s="615"/>
      <c r="O85" s="615"/>
      <c r="P85" s="615">
        <v>136</v>
      </c>
      <c r="Q85" s="615"/>
      <c r="R85" s="614">
        <f t="shared" si="22"/>
        <v>0</v>
      </c>
      <c r="S85" s="615"/>
      <c r="T85" s="614"/>
      <c r="U85" s="615"/>
      <c r="V85" s="615"/>
    </row>
    <row r="86" spans="1:22" ht="20.25" customHeight="1">
      <c r="A86" s="612">
        <v>10</v>
      </c>
      <c r="B86" s="613" t="s">
        <v>165</v>
      </c>
      <c r="C86" s="614">
        <v>6601.451</v>
      </c>
      <c r="D86" s="614">
        <f t="shared" si="21"/>
        <v>6605.871000000001</v>
      </c>
      <c r="E86" s="615">
        <f t="shared" si="24"/>
        <v>6605.871000000001</v>
      </c>
      <c r="F86" s="615">
        <f t="shared" si="23"/>
        <v>5</v>
      </c>
      <c r="G86" s="615"/>
      <c r="H86" s="615"/>
      <c r="I86" s="615"/>
      <c r="J86" s="615"/>
      <c r="K86" s="615">
        <v>5</v>
      </c>
      <c r="L86" s="615">
        <v>6471.871000000001</v>
      </c>
      <c r="M86" s="615">
        <f>50-5</f>
        <v>45</v>
      </c>
      <c r="N86" s="615"/>
      <c r="O86" s="615"/>
      <c r="P86" s="615">
        <v>129</v>
      </c>
      <c r="Q86" s="615"/>
      <c r="R86" s="614">
        <f t="shared" si="22"/>
        <v>0</v>
      </c>
      <c r="S86" s="615"/>
      <c r="T86" s="614"/>
      <c r="U86" s="615"/>
      <c r="V86" s="615"/>
    </row>
    <row r="87" spans="1:22" ht="20.25" customHeight="1">
      <c r="A87" s="612">
        <v>11</v>
      </c>
      <c r="B87" s="613" t="s">
        <v>166</v>
      </c>
      <c r="C87" s="614">
        <v>12287.225999999999</v>
      </c>
      <c r="D87" s="614">
        <f t="shared" si="21"/>
        <v>12299.346</v>
      </c>
      <c r="E87" s="615">
        <f t="shared" si="24"/>
        <v>12299.346</v>
      </c>
      <c r="F87" s="615">
        <f t="shared" si="23"/>
        <v>5000</v>
      </c>
      <c r="G87" s="615"/>
      <c r="H87" s="615"/>
      <c r="I87" s="615"/>
      <c r="J87" s="615"/>
      <c r="K87" s="615">
        <v>5000</v>
      </c>
      <c r="L87" s="615">
        <v>7144.3459999999995</v>
      </c>
      <c r="M87" s="615">
        <f>35-7</f>
        <v>28</v>
      </c>
      <c r="N87" s="615"/>
      <c r="O87" s="615"/>
      <c r="P87" s="615">
        <v>155</v>
      </c>
      <c r="Q87" s="615"/>
      <c r="R87" s="614">
        <f t="shared" si="22"/>
        <v>0</v>
      </c>
      <c r="S87" s="615"/>
      <c r="T87" s="614"/>
      <c r="U87" s="615"/>
      <c r="V87" s="615"/>
    </row>
    <row r="88" spans="1:22" ht="43.5" customHeight="1">
      <c r="A88" s="612" t="s">
        <v>66</v>
      </c>
      <c r="B88" s="609" t="s">
        <v>103</v>
      </c>
      <c r="C88" s="614">
        <v>0</v>
      </c>
      <c r="D88" s="614">
        <f t="shared" si="21"/>
        <v>0</v>
      </c>
      <c r="E88" s="615">
        <f t="shared" ref="E88" si="25">F88+L88+O88+P88+Q88</f>
        <v>0</v>
      </c>
      <c r="F88" s="615">
        <f t="shared" si="23"/>
        <v>0</v>
      </c>
      <c r="G88" s="615"/>
      <c r="H88" s="615"/>
      <c r="I88" s="615"/>
      <c r="J88" s="615"/>
      <c r="K88" s="615"/>
      <c r="L88" s="615"/>
      <c r="M88" s="615"/>
      <c r="N88" s="615"/>
      <c r="O88" s="615"/>
      <c r="P88" s="615"/>
      <c r="Q88" s="615"/>
      <c r="R88" s="615">
        <f t="shared" ref="R88" si="26">S88+T88+U88</f>
        <v>0</v>
      </c>
      <c r="S88" s="615"/>
      <c r="T88" s="615"/>
      <c r="U88" s="615"/>
      <c r="V88" s="615"/>
    </row>
    <row r="89" spans="1:22">
      <c r="A89" s="631"/>
      <c r="B89" s="650"/>
      <c r="C89" s="651"/>
      <c r="D89" s="651"/>
      <c r="E89" s="632"/>
      <c r="F89" s="632"/>
      <c r="G89" s="632"/>
      <c r="H89" s="632"/>
      <c r="I89" s="632"/>
      <c r="J89" s="632"/>
      <c r="K89" s="632"/>
      <c r="L89" s="632"/>
      <c r="M89" s="632"/>
      <c r="N89" s="632"/>
      <c r="O89" s="632"/>
      <c r="P89" s="632"/>
      <c r="Q89" s="632"/>
      <c r="R89" s="632"/>
      <c r="S89" s="632"/>
      <c r="T89" s="632"/>
      <c r="U89" s="632"/>
      <c r="V89" s="632"/>
    </row>
    <row r="90" spans="1:22">
      <c r="A90" s="623"/>
    </row>
    <row r="91" spans="1:22">
      <c r="R91" s="461"/>
    </row>
  </sheetData>
  <mergeCells count="27">
    <mergeCell ref="A4:A8"/>
    <mergeCell ref="F7:F8"/>
    <mergeCell ref="T6:T8"/>
    <mergeCell ref="M7:N7"/>
    <mergeCell ref="R5:U5"/>
    <mergeCell ref="P6:P8"/>
    <mergeCell ref="G7:H7"/>
    <mergeCell ref="I7:I8"/>
    <mergeCell ref="J7:J8"/>
    <mergeCell ref="E5:Q5"/>
    <mergeCell ref="S6:S8"/>
    <mergeCell ref="A1:B1"/>
    <mergeCell ref="A2:V2"/>
    <mergeCell ref="V5:V8"/>
    <mergeCell ref="E6:E8"/>
    <mergeCell ref="F6:K6"/>
    <mergeCell ref="L6:N6"/>
    <mergeCell ref="O6:O8"/>
    <mergeCell ref="U6:U8"/>
    <mergeCell ref="L7:L8"/>
    <mergeCell ref="K7:K8"/>
    <mergeCell ref="Q6:Q8"/>
    <mergeCell ref="R6:R8"/>
    <mergeCell ref="D5:D8"/>
    <mergeCell ref="D4:V4"/>
    <mergeCell ref="C4:C8"/>
    <mergeCell ref="B4:B8"/>
  </mergeCells>
  <phoneticPr fontId="16" type="noConversion"/>
  <pageMargins left="0.5" right="0.25" top="0.5" bottom="0.5" header="0.31496062992126" footer="0.31496062992126"/>
  <pageSetup paperSize="9" scale="63"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zoomScale="90" zoomScaleNormal="100" zoomScaleSheetLayoutView="90" workbookViewId="0">
      <selection activeCell="I4" sqref="A4:XFD4"/>
    </sheetView>
  </sheetViews>
  <sheetFormatPr defaultRowHeight="15"/>
  <cols>
    <col min="1" max="1" width="6.85546875" style="2" customWidth="1"/>
    <col min="2" max="2" width="31.5703125" style="2" customWidth="1"/>
    <col min="3" max="3" width="12" style="2" customWidth="1"/>
    <col min="4" max="4" width="14.85546875" style="2" customWidth="1"/>
    <col min="5" max="5" width="14.7109375" style="2" customWidth="1"/>
    <col min="6" max="6" width="12" style="2" customWidth="1"/>
    <col min="7" max="16384" width="9.140625" style="2"/>
  </cols>
  <sheetData>
    <row r="1" spans="1:6">
      <c r="A1" s="655" t="s">
        <v>168</v>
      </c>
      <c r="B1" s="655"/>
      <c r="E1" s="655" t="s">
        <v>137</v>
      </c>
      <c r="F1" s="655"/>
    </row>
    <row r="2" spans="1:6" ht="19.5" customHeight="1">
      <c r="A2" s="655" t="s">
        <v>324</v>
      </c>
      <c r="B2" s="655"/>
      <c r="C2" s="655"/>
      <c r="D2" s="655"/>
      <c r="E2" s="655"/>
      <c r="F2" s="655"/>
    </row>
    <row r="3" spans="1:6">
      <c r="A3" s="655" t="s">
        <v>397</v>
      </c>
      <c r="B3" s="655"/>
      <c r="C3" s="655"/>
      <c r="D3" s="655"/>
      <c r="E3" s="655"/>
      <c r="F3" s="655"/>
    </row>
    <row r="4" spans="1:6">
      <c r="A4" s="63"/>
      <c r="C4" s="40"/>
      <c r="D4" s="40"/>
      <c r="F4" s="63" t="s">
        <v>38</v>
      </c>
    </row>
    <row r="5" spans="1:6" ht="18" customHeight="1">
      <c r="A5" s="732" t="s">
        <v>10</v>
      </c>
      <c r="B5" s="732" t="s">
        <v>111</v>
      </c>
      <c r="C5" s="732" t="s">
        <v>126</v>
      </c>
      <c r="D5" s="732"/>
      <c r="E5" s="732"/>
      <c r="F5" s="732"/>
    </row>
    <row r="6" spans="1:6" ht="22.5" customHeight="1">
      <c r="A6" s="732"/>
      <c r="B6" s="732"/>
      <c r="C6" s="809" t="s">
        <v>41</v>
      </c>
      <c r="D6" s="809" t="s">
        <v>129</v>
      </c>
      <c r="E6" s="809" t="s">
        <v>130</v>
      </c>
      <c r="F6" s="809" t="s">
        <v>131</v>
      </c>
    </row>
    <row r="7" spans="1:6" ht="15" customHeight="1">
      <c r="A7" s="732"/>
      <c r="B7" s="732"/>
      <c r="C7" s="809"/>
      <c r="D7" s="809"/>
      <c r="E7" s="809"/>
      <c r="F7" s="809"/>
    </row>
    <row r="8" spans="1:6" ht="66" customHeight="1">
      <c r="A8" s="732"/>
      <c r="B8" s="732"/>
      <c r="C8" s="809"/>
      <c r="D8" s="809"/>
      <c r="E8" s="809"/>
      <c r="F8" s="809"/>
    </row>
    <row r="9" spans="1:6">
      <c r="A9" s="266" t="s">
        <v>14</v>
      </c>
      <c r="B9" s="266" t="s">
        <v>15</v>
      </c>
      <c r="C9" s="267" t="s">
        <v>138</v>
      </c>
      <c r="D9" s="267">
        <v>2</v>
      </c>
      <c r="E9" s="267">
        <v>3</v>
      </c>
      <c r="F9" s="267">
        <v>4</v>
      </c>
    </row>
    <row r="10" spans="1:6" s="18" customFormat="1" ht="20.25" customHeight="1">
      <c r="A10" s="163"/>
      <c r="B10" s="164" t="s">
        <v>53</v>
      </c>
      <c r="C10" s="178">
        <f>C11+C15+C17</f>
        <v>8098</v>
      </c>
      <c r="D10" s="178">
        <f t="shared" ref="D10:F10" si="0">D11+D15+D17</f>
        <v>7427</v>
      </c>
      <c r="E10" s="178">
        <f t="shared" si="0"/>
        <v>671</v>
      </c>
      <c r="F10" s="178">
        <f t="shared" si="0"/>
        <v>0</v>
      </c>
    </row>
    <row r="11" spans="1:6" s="18" customFormat="1" ht="20.25" customHeight="1">
      <c r="A11" s="165" t="s">
        <v>149</v>
      </c>
      <c r="B11" s="166" t="s">
        <v>690</v>
      </c>
      <c r="C11" s="268">
        <f>SUM(C12:C14)</f>
        <v>5547</v>
      </c>
      <c r="D11" s="268">
        <f>SUM(D12:D14)</f>
        <v>4927</v>
      </c>
      <c r="E11" s="268">
        <f>SUM(E12:E14)</f>
        <v>620</v>
      </c>
      <c r="F11" s="268">
        <f>SUM(F12:F14)</f>
        <v>0</v>
      </c>
    </row>
    <row r="12" spans="1:6" s="18" customFormat="1" ht="20.25" customHeight="1">
      <c r="A12" s="167">
        <v>1</v>
      </c>
      <c r="B12" s="168" t="s">
        <v>688</v>
      </c>
      <c r="C12" s="179">
        <f t="shared" ref="C12:C14" si="1">SUM(D12:F12)</f>
        <v>3100</v>
      </c>
      <c r="D12" s="179">
        <v>3100</v>
      </c>
      <c r="E12" s="179"/>
      <c r="F12" s="179"/>
    </row>
    <row r="13" spans="1:6" s="18" customFormat="1" ht="20.25" customHeight="1">
      <c r="A13" s="167">
        <v>2</v>
      </c>
      <c r="B13" s="168" t="s">
        <v>689</v>
      </c>
      <c r="C13" s="179">
        <f t="shared" ref="C13" si="2">SUM(D13:F13)</f>
        <v>620</v>
      </c>
      <c r="D13" s="179"/>
      <c r="E13" s="179">
        <v>620</v>
      </c>
      <c r="F13" s="179"/>
    </row>
    <row r="14" spans="1:6" ht="33.75" customHeight="1">
      <c r="A14" s="167">
        <v>3</v>
      </c>
      <c r="B14" s="168" t="s">
        <v>258</v>
      </c>
      <c r="C14" s="179">
        <f t="shared" si="1"/>
        <v>1827</v>
      </c>
      <c r="D14" s="179">
        <v>1827</v>
      </c>
      <c r="E14" s="179"/>
      <c r="F14" s="179"/>
    </row>
    <row r="15" spans="1:6" s="18" customFormat="1" ht="20.25" customHeight="1">
      <c r="A15" s="165" t="s">
        <v>179</v>
      </c>
      <c r="B15" s="166" t="s">
        <v>272</v>
      </c>
      <c r="C15" s="268">
        <f>SUM(C16:C16)</f>
        <v>2500</v>
      </c>
      <c r="D15" s="268">
        <f>SUM(D16:D16)</f>
        <v>2500</v>
      </c>
      <c r="E15" s="268">
        <f>SUM(E16:E16)</f>
        <v>0</v>
      </c>
      <c r="F15" s="268">
        <f>SUM(F16:F16)</f>
        <v>0</v>
      </c>
    </row>
    <row r="16" spans="1:6" ht="32.25" customHeight="1">
      <c r="A16" s="167">
        <v>3</v>
      </c>
      <c r="B16" s="168" t="s">
        <v>687</v>
      </c>
      <c r="C16" s="179">
        <f t="shared" ref="C16:C18" si="3">SUM(D16:F16)</f>
        <v>2500</v>
      </c>
      <c r="D16" s="179">
        <v>2500</v>
      </c>
      <c r="E16" s="179"/>
      <c r="F16" s="179"/>
    </row>
    <row r="17" spans="1:6" s="18" customFormat="1" ht="20.25" customHeight="1">
      <c r="A17" s="165" t="s">
        <v>181</v>
      </c>
      <c r="B17" s="166" t="s">
        <v>276</v>
      </c>
      <c r="C17" s="268">
        <f>SUM(C18:C18)</f>
        <v>51</v>
      </c>
      <c r="D17" s="268">
        <f>SUM(D18:D18)</f>
        <v>0</v>
      </c>
      <c r="E17" s="268">
        <f>SUM(E18:E18)</f>
        <v>51</v>
      </c>
      <c r="F17" s="268">
        <f>SUM(F18:F18)</f>
        <v>0</v>
      </c>
    </row>
    <row r="18" spans="1:6" ht="20.25" customHeight="1">
      <c r="A18" s="171">
        <v>8</v>
      </c>
      <c r="B18" s="172" t="s">
        <v>163</v>
      </c>
      <c r="C18" s="181">
        <f t="shared" si="3"/>
        <v>51</v>
      </c>
      <c r="D18" s="181"/>
      <c r="E18" s="181">
        <v>51</v>
      </c>
      <c r="F18" s="181"/>
    </row>
    <row r="19" spans="1:6" ht="33" customHeight="1">
      <c r="A19" s="269"/>
      <c r="B19" s="269"/>
      <c r="C19" s="269"/>
      <c r="D19" s="269"/>
      <c r="E19" s="269"/>
      <c r="F19" s="269"/>
    </row>
    <row r="20" spans="1:6" ht="33" customHeight="1">
      <c r="A20" s="269"/>
      <c r="B20" s="269"/>
      <c r="C20" s="269"/>
      <c r="D20" s="269"/>
      <c r="E20" s="269"/>
      <c r="F20" s="269"/>
    </row>
  </sheetData>
  <mergeCells count="11">
    <mergeCell ref="A1:B1"/>
    <mergeCell ref="E1:F1"/>
    <mergeCell ref="A2:F2"/>
    <mergeCell ref="A3:F3"/>
    <mergeCell ref="A5:A8"/>
    <mergeCell ref="B5:B8"/>
    <mergeCell ref="C5:F5"/>
    <mergeCell ref="C6:C8"/>
    <mergeCell ref="D6:D8"/>
    <mergeCell ref="E6:E8"/>
    <mergeCell ref="F6:F8"/>
  </mergeCells>
  <phoneticPr fontId="16" type="noConversion"/>
  <pageMargins left="0.5" right="0.25" top="0.5" bottom="0.5" header="0.3" footer="0.3"/>
  <pageSetup paperSize="9"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H10" sqref="H10"/>
    </sheetView>
  </sheetViews>
  <sheetFormatPr defaultRowHeight="15"/>
  <cols>
    <col min="1" max="1" width="4.85546875" customWidth="1"/>
    <col min="2" max="2" width="20.7109375" customWidth="1"/>
    <col min="12" max="12" width="10" customWidth="1"/>
    <col min="13" max="13" width="9.85546875" customWidth="1"/>
  </cols>
  <sheetData>
    <row r="1" spans="1:13" s="125" customFormat="1">
      <c r="A1" s="812" t="s">
        <v>168</v>
      </c>
      <c r="B1" s="812"/>
      <c r="C1" s="812"/>
      <c r="D1" s="812"/>
      <c r="L1" s="126" t="s">
        <v>139</v>
      </c>
    </row>
    <row r="2" spans="1:13" s="125" customFormat="1">
      <c r="A2" s="812" t="s">
        <v>398</v>
      </c>
      <c r="B2" s="812"/>
      <c r="C2" s="812"/>
      <c r="D2" s="812"/>
      <c r="E2" s="812"/>
      <c r="F2" s="812"/>
      <c r="G2" s="812"/>
      <c r="H2" s="812"/>
      <c r="I2" s="812"/>
      <c r="J2" s="812"/>
      <c r="K2" s="812"/>
      <c r="L2" s="812"/>
      <c r="M2" s="812"/>
    </row>
    <row r="3" spans="1:13" s="125" customFormat="1">
      <c r="A3" s="811" t="s">
        <v>643</v>
      </c>
      <c r="B3" s="811"/>
      <c r="C3" s="811"/>
      <c r="D3" s="811"/>
      <c r="E3" s="811"/>
      <c r="F3" s="811"/>
      <c r="G3" s="811"/>
      <c r="H3" s="811"/>
      <c r="I3" s="811"/>
      <c r="J3" s="811"/>
      <c r="K3" s="811"/>
      <c r="L3" s="811"/>
      <c r="M3" s="811"/>
    </row>
    <row r="4" spans="1:13" s="125" customFormat="1">
      <c r="K4" s="813" t="s">
        <v>38</v>
      </c>
      <c r="L4" s="813"/>
      <c r="M4" s="813"/>
    </row>
    <row r="5" spans="1:13" s="125" customFormat="1">
      <c r="A5" s="814" t="s">
        <v>10</v>
      </c>
      <c r="B5" s="814" t="s">
        <v>140</v>
      </c>
      <c r="C5" s="814" t="s">
        <v>641</v>
      </c>
      <c r="D5" s="814" t="s">
        <v>413</v>
      </c>
      <c r="E5" s="814"/>
      <c r="F5" s="814"/>
      <c r="G5" s="814"/>
      <c r="H5" s="814" t="s">
        <v>640</v>
      </c>
      <c r="I5" s="814" t="s">
        <v>414</v>
      </c>
      <c r="J5" s="814"/>
      <c r="K5" s="814"/>
      <c r="L5" s="814"/>
      <c r="M5" s="814" t="s">
        <v>631</v>
      </c>
    </row>
    <row r="6" spans="1:13" s="125" customFormat="1" ht="39" customHeight="1">
      <c r="A6" s="814"/>
      <c r="B6" s="814"/>
      <c r="C6" s="814"/>
      <c r="D6" s="810" t="s">
        <v>141</v>
      </c>
      <c r="E6" s="810"/>
      <c r="F6" s="810" t="s">
        <v>142</v>
      </c>
      <c r="G6" s="810" t="s">
        <v>143</v>
      </c>
      <c r="H6" s="814"/>
      <c r="I6" s="810" t="s">
        <v>141</v>
      </c>
      <c r="J6" s="810"/>
      <c r="K6" s="810" t="s">
        <v>142</v>
      </c>
      <c r="L6" s="810" t="s">
        <v>143</v>
      </c>
      <c r="M6" s="814"/>
    </row>
    <row r="7" spans="1:13" s="125" customFormat="1" ht="60">
      <c r="A7" s="814"/>
      <c r="B7" s="814"/>
      <c r="C7" s="814"/>
      <c r="D7" s="396" t="s">
        <v>41</v>
      </c>
      <c r="E7" s="396" t="s">
        <v>630</v>
      </c>
      <c r="F7" s="810"/>
      <c r="G7" s="810"/>
      <c r="H7" s="814"/>
      <c r="I7" s="396" t="s">
        <v>41</v>
      </c>
      <c r="J7" s="396" t="s">
        <v>144</v>
      </c>
      <c r="K7" s="810"/>
      <c r="L7" s="810"/>
      <c r="M7" s="814"/>
    </row>
    <row r="8" spans="1:13" s="125" customFormat="1">
      <c r="A8" s="396" t="s">
        <v>14</v>
      </c>
      <c r="B8" s="396" t="s">
        <v>15</v>
      </c>
      <c r="C8" s="396">
        <v>1</v>
      </c>
      <c r="D8" s="396">
        <v>2</v>
      </c>
      <c r="E8" s="396">
        <v>3</v>
      </c>
      <c r="F8" s="396">
        <v>4</v>
      </c>
      <c r="G8" s="396" t="s">
        <v>145</v>
      </c>
      <c r="H8" s="396" t="s">
        <v>146</v>
      </c>
      <c r="I8" s="396">
        <v>7</v>
      </c>
      <c r="J8" s="396">
        <v>8</v>
      </c>
      <c r="K8" s="396">
        <v>9</v>
      </c>
      <c r="L8" s="396" t="s">
        <v>147</v>
      </c>
      <c r="M8" s="396" t="s">
        <v>148</v>
      </c>
    </row>
    <row r="9" spans="1:13" s="125" customFormat="1" ht="27" customHeight="1">
      <c r="A9" s="135">
        <v>1</v>
      </c>
      <c r="B9" s="136" t="s">
        <v>373</v>
      </c>
      <c r="C9" s="137">
        <v>69.117999999999995</v>
      </c>
      <c r="D9" s="137">
        <v>300</v>
      </c>
      <c r="E9" s="137">
        <v>30</v>
      </c>
      <c r="F9" s="137">
        <v>200</v>
      </c>
      <c r="G9" s="137">
        <f>D9-F9</f>
        <v>100</v>
      </c>
      <c r="H9" s="137">
        <f>C9+D9-F9</f>
        <v>169.11799999999999</v>
      </c>
      <c r="I9" s="137">
        <v>80</v>
      </c>
      <c r="J9" s="133">
        <v>50</v>
      </c>
      <c r="K9" s="133">
        <v>229.11799999999999</v>
      </c>
      <c r="L9" s="138">
        <f>I9-K9</f>
        <v>-149.11799999999999</v>
      </c>
      <c r="M9" s="138"/>
    </row>
    <row r="10" spans="1:13" s="125" customFormat="1" ht="27" customHeight="1">
      <c r="A10" s="130">
        <v>2</v>
      </c>
      <c r="B10" s="131" t="s">
        <v>374</v>
      </c>
      <c r="C10" s="139">
        <v>618.83900000000006</v>
      </c>
      <c r="D10" s="139">
        <v>1227.133</v>
      </c>
      <c r="E10" s="139"/>
      <c r="F10" s="139">
        <v>1580.6</v>
      </c>
      <c r="G10" s="139">
        <f>D10-F10</f>
        <v>-353.46699999999987</v>
      </c>
      <c r="H10" s="139">
        <f>C10+D10-F10</f>
        <v>265.3720000000003</v>
      </c>
      <c r="I10" s="139">
        <v>1500</v>
      </c>
      <c r="J10" s="132"/>
      <c r="K10" s="132">
        <v>1765.3720000000003</v>
      </c>
      <c r="L10" s="140">
        <f>I10-K10</f>
        <v>-265.3720000000003</v>
      </c>
      <c r="M10" s="140"/>
    </row>
    <row r="11" spans="1:13" s="125" customFormat="1" ht="27" customHeight="1">
      <c r="A11" s="130">
        <v>3</v>
      </c>
      <c r="B11" s="131" t="s">
        <v>375</v>
      </c>
      <c r="C11" s="139">
        <v>74.981999999999999</v>
      </c>
      <c r="D11" s="139">
        <v>233.465</v>
      </c>
      <c r="E11" s="139"/>
      <c r="F11" s="139">
        <v>233.465</v>
      </c>
      <c r="G11" s="139">
        <f>D11-F11</f>
        <v>0</v>
      </c>
      <c r="H11" s="139">
        <f>C11+D11-F11</f>
        <v>74.981999999999999</v>
      </c>
      <c r="I11" s="139">
        <v>70</v>
      </c>
      <c r="J11" s="132"/>
      <c r="K11" s="132">
        <v>144.982</v>
      </c>
      <c r="L11" s="140">
        <f>I11-K11</f>
        <v>-74.981999999999999</v>
      </c>
      <c r="M11" s="140"/>
    </row>
    <row r="12" spans="1:13" s="125" customFormat="1" ht="27" customHeight="1">
      <c r="A12" s="130">
        <v>4</v>
      </c>
      <c r="B12" s="131" t="s">
        <v>376</v>
      </c>
      <c r="C12" s="139">
        <v>517.63400000000001</v>
      </c>
      <c r="D12" s="139">
        <v>210</v>
      </c>
      <c r="E12" s="139"/>
      <c r="F12" s="139">
        <v>519.63</v>
      </c>
      <c r="G12" s="139">
        <f>D12-F12</f>
        <v>-309.63</v>
      </c>
      <c r="H12" s="139">
        <f>C12+D12-F12</f>
        <v>208.00400000000002</v>
      </c>
      <c r="I12" s="139">
        <v>220</v>
      </c>
      <c r="J12" s="132"/>
      <c r="K12" s="132">
        <v>428</v>
      </c>
      <c r="L12" s="140">
        <f>I12-K12</f>
        <v>-208</v>
      </c>
      <c r="M12" s="140"/>
    </row>
    <row r="13" spans="1:13" s="125" customFormat="1" ht="27" customHeight="1">
      <c r="A13" s="141">
        <v>5</v>
      </c>
      <c r="B13" s="142" t="s">
        <v>377</v>
      </c>
      <c r="C13" s="143">
        <v>0</v>
      </c>
      <c r="D13" s="143">
        <f>E13</f>
        <v>100</v>
      </c>
      <c r="E13" s="143">
        <v>100</v>
      </c>
      <c r="F13" s="143">
        <v>100</v>
      </c>
      <c r="G13" s="143">
        <f>D13-F13</f>
        <v>0</v>
      </c>
      <c r="H13" s="143">
        <f>C13+D13-F13</f>
        <v>0</v>
      </c>
      <c r="I13" s="143">
        <v>500</v>
      </c>
      <c r="J13" s="134">
        <v>100</v>
      </c>
      <c r="K13" s="134">
        <v>100</v>
      </c>
      <c r="L13" s="144">
        <f>I13-K13</f>
        <v>400</v>
      </c>
      <c r="M13" s="144"/>
    </row>
    <row r="14" spans="1:13" s="125" customFormat="1" ht="22.5" customHeight="1">
      <c r="A14" s="396"/>
      <c r="B14" s="397" t="s">
        <v>378</v>
      </c>
      <c r="C14" s="398">
        <f t="shared" ref="C14:L14" si="0">SUM(C9:C13)</f>
        <v>1280.5730000000001</v>
      </c>
      <c r="D14" s="398">
        <f t="shared" si="0"/>
        <v>2070.598</v>
      </c>
      <c r="E14" s="398">
        <f t="shared" si="0"/>
        <v>130</v>
      </c>
      <c r="F14" s="398">
        <f t="shared" si="0"/>
        <v>2633.6949999999997</v>
      </c>
      <c r="G14" s="398">
        <f t="shared" si="0"/>
        <v>-563.09699999999987</v>
      </c>
      <c r="H14" s="398">
        <f t="shared" si="0"/>
        <v>717.47600000000034</v>
      </c>
      <c r="I14" s="398">
        <f t="shared" si="0"/>
        <v>2370</v>
      </c>
      <c r="J14" s="398">
        <f t="shared" si="0"/>
        <v>150</v>
      </c>
      <c r="K14" s="398">
        <f t="shared" si="0"/>
        <v>2667.4720000000002</v>
      </c>
      <c r="L14" s="398">
        <f t="shared" si="0"/>
        <v>-297.47200000000032</v>
      </c>
      <c r="M14" s="398"/>
    </row>
    <row r="15" spans="1:13" s="125" customFormat="1">
      <c r="A15" s="145"/>
      <c r="B15" s="146"/>
      <c r="C15" s="147"/>
      <c r="D15" s="147"/>
      <c r="E15" s="147"/>
      <c r="F15" s="147"/>
      <c r="G15" s="147"/>
      <c r="H15" s="147"/>
      <c r="I15" s="147"/>
      <c r="J15" s="147"/>
      <c r="K15" s="147"/>
      <c r="L15" s="147"/>
      <c r="M15" s="147"/>
    </row>
    <row r="16" spans="1:13" s="125" customFormat="1">
      <c r="A16" s="145"/>
      <c r="B16" s="146"/>
      <c r="C16" s="147"/>
      <c r="D16" s="147"/>
      <c r="E16" s="147"/>
      <c r="F16" s="147"/>
      <c r="G16" s="147"/>
      <c r="H16" s="147"/>
      <c r="I16" s="147"/>
      <c r="J16" s="147"/>
      <c r="K16" s="147"/>
      <c r="L16" s="147"/>
      <c r="M16" s="147"/>
    </row>
    <row r="17" spans="1:13" s="125" customFormat="1">
      <c r="A17" s="145"/>
      <c r="B17" s="146"/>
      <c r="C17" s="147"/>
      <c r="D17" s="147"/>
      <c r="E17" s="147"/>
      <c r="F17" s="147"/>
      <c r="G17" s="147"/>
      <c r="H17" s="147"/>
      <c r="I17" s="147"/>
      <c r="J17" s="147"/>
      <c r="K17" s="147"/>
      <c r="L17" s="147"/>
      <c r="M17" s="147"/>
    </row>
  </sheetData>
  <mergeCells count="17">
    <mergeCell ref="G6:G7"/>
    <mergeCell ref="I6:J6"/>
    <mergeCell ref="K6:K7"/>
    <mergeCell ref="A3:M3"/>
    <mergeCell ref="L6:L7"/>
    <mergeCell ref="A1:D1"/>
    <mergeCell ref="A2:M2"/>
    <mergeCell ref="K4:M4"/>
    <mergeCell ref="A5:A7"/>
    <mergeCell ref="B5:B7"/>
    <mergeCell ref="C5:C7"/>
    <mergeCell ref="D5:G5"/>
    <mergeCell ref="H5:H7"/>
    <mergeCell ref="I5:L5"/>
    <mergeCell ref="M5:M7"/>
    <mergeCell ref="D6:E6"/>
    <mergeCell ref="F6:F7"/>
  </mergeCells>
  <printOptions horizontalCentered="1"/>
  <pageMargins left="0.27559055118110237" right="0.19685039370078741" top="0.31496062992125984" bottom="0.31496062992125984" header="0.31496062992125984" footer="0.31496062992125984"/>
  <pageSetup paperSize="9" orientation="landscape" verticalDpi="0"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62"/>
  <sheetViews>
    <sheetView topLeftCell="A6" workbookViewId="0">
      <selection activeCell="H16" sqref="H16"/>
    </sheetView>
  </sheetViews>
  <sheetFormatPr defaultColWidth="9.140625" defaultRowHeight="12" outlineLevelRow="1" outlineLevelCol="1"/>
  <cols>
    <col min="1" max="1" width="4.28515625" style="5" customWidth="1"/>
    <col min="2" max="2" width="41.7109375" style="4" customWidth="1"/>
    <col min="3" max="3" width="10.28515625" style="6" customWidth="1"/>
    <col min="4" max="4" width="10.7109375" style="5" customWidth="1"/>
    <col min="5" max="5" width="7.28515625" style="6" customWidth="1"/>
    <col min="6" max="6" width="8.28515625" style="6" customWidth="1"/>
    <col min="7" max="7" width="12" style="6" customWidth="1"/>
    <col min="8" max="8" width="9.7109375" style="5" bestFit="1" customWidth="1"/>
    <col min="9" max="9" width="9.7109375" style="4" bestFit="1" customWidth="1"/>
    <col min="10" max="11" width="7.7109375" style="4" hidden="1" customWidth="1" outlineLevel="1"/>
    <col min="12" max="13" width="8.140625" style="7" hidden="1" customWidth="1" outlineLevel="1"/>
    <col min="14" max="14" width="8.28515625" style="4" hidden="1" customWidth="1" outlineLevel="1"/>
    <col min="15" max="15" width="6.7109375" style="4" hidden="1" customWidth="1" outlineLevel="1"/>
    <col min="16" max="16" width="9" style="7" hidden="1" customWidth="1" outlineLevel="1"/>
    <col min="17" max="18" width="9.28515625" style="8" hidden="1" customWidth="1" outlineLevel="1"/>
    <col min="19" max="19" width="8.7109375" style="8" hidden="1" customWidth="1" outlineLevel="1"/>
    <col min="20" max="20" width="9.85546875" style="8" customWidth="1" outlineLevel="1"/>
    <col min="21" max="21" width="14.28515625" style="8" customWidth="1" outlineLevel="1"/>
    <col min="22" max="22" width="9.85546875" style="8" customWidth="1" outlineLevel="1"/>
    <col min="23" max="23" width="14.28515625" style="8" customWidth="1" outlineLevel="1"/>
    <col min="24" max="24" width="11.140625" style="8" customWidth="1" outlineLevel="1"/>
    <col min="25" max="25" width="15.140625" style="8" customWidth="1" outlineLevel="1"/>
    <col min="26" max="26" width="11.140625" style="14" customWidth="1"/>
    <col min="27" max="27" width="9.28515625" style="3" bestFit="1" customWidth="1"/>
    <col min="28" max="28" width="15.28515625" style="4" bestFit="1" customWidth="1"/>
    <col min="29" max="29" width="9.140625" style="4"/>
    <col min="30" max="34" width="9.28515625" style="4" bestFit="1" customWidth="1"/>
    <col min="35" max="16384" width="9.140625" style="4"/>
  </cols>
  <sheetData>
    <row r="1" spans="1:28" s="151" customFormat="1" ht="12.75">
      <c r="A1" s="824" t="s">
        <v>168</v>
      </c>
      <c r="B1" s="824"/>
      <c r="C1" s="270"/>
      <c r="D1" s="270"/>
      <c r="E1" s="270"/>
      <c r="F1" s="270"/>
      <c r="G1" s="270"/>
      <c r="H1" s="270"/>
      <c r="I1" s="270"/>
      <c r="J1" s="270"/>
      <c r="K1" s="270"/>
      <c r="L1" s="270"/>
      <c r="M1" s="270"/>
      <c r="N1" s="270"/>
      <c r="O1" s="270"/>
      <c r="P1" s="270"/>
      <c r="Q1" s="270"/>
      <c r="R1" s="270"/>
      <c r="S1" s="270"/>
      <c r="T1" s="270"/>
      <c r="U1" s="270"/>
      <c r="V1" s="270"/>
      <c r="W1" s="270"/>
      <c r="X1" s="270"/>
      <c r="Y1" s="824" t="s">
        <v>624</v>
      </c>
      <c r="Z1" s="824"/>
      <c r="AA1" s="150"/>
    </row>
    <row r="2" spans="1:28" s="151" customFormat="1" ht="12.75">
      <c r="A2" s="835" t="s">
        <v>627</v>
      </c>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150"/>
    </row>
    <row r="3" spans="1:28" s="151" customFormat="1" ht="12.75">
      <c r="A3" s="815" t="s">
        <v>643</v>
      </c>
      <c r="B3" s="815"/>
      <c r="C3" s="815"/>
      <c r="D3" s="815"/>
      <c r="E3" s="815"/>
      <c r="F3" s="815"/>
      <c r="G3" s="815"/>
      <c r="H3" s="815"/>
      <c r="I3" s="815"/>
      <c r="J3" s="815"/>
      <c r="K3" s="815"/>
      <c r="L3" s="815"/>
      <c r="M3" s="815"/>
      <c r="N3" s="815"/>
      <c r="O3" s="815"/>
      <c r="P3" s="815"/>
      <c r="Q3" s="815"/>
      <c r="R3" s="815"/>
      <c r="S3" s="815"/>
      <c r="T3" s="815"/>
      <c r="U3" s="815"/>
      <c r="V3" s="815"/>
      <c r="W3" s="815"/>
      <c r="X3" s="815"/>
      <c r="Y3" s="815"/>
      <c r="Z3" s="815"/>
      <c r="AA3" s="150"/>
    </row>
    <row r="4" spans="1:28">
      <c r="A4" s="271"/>
      <c r="B4" s="272"/>
      <c r="C4" s="273"/>
      <c r="D4" s="271"/>
      <c r="E4" s="273"/>
      <c r="F4" s="273"/>
      <c r="G4" s="274"/>
      <c r="H4" s="271"/>
      <c r="I4" s="272"/>
      <c r="J4" s="275"/>
      <c r="K4" s="275"/>
      <c r="L4" s="275"/>
      <c r="M4" s="275"/>
      <c r="N4" s="275"/>
      <c r="O4" s="275"/>
      <c r="P4" s="275"/>
      <c r="Q4" s="276"/>
      <c r="R4" s="276"/>
      <c r="S4" s="276"/>
      <c r="T4" s="276"/>
      <c r="U4" s="276"/>
      <c r="V4" s="276"/>
      <c r="W4" s="276"/>
      <c r="X4" s="276"/>
      <c r="Y4" s="825" t="s">
        <v>417</v>
      </c>
      <c r="Z4" s="825"/>
    </row>
    <row r="5" spans="1:28" ht="25.5" customHeight="1">
      <c r="A5" s="836" t="s">
        <v>551</v>
      </c>
      <c r="B5" s="836" t="s">
        <v>552</v>
      </c>
      <c r="C5" s="836" t="s">
        <v>553</v>
      </c>
      <c r="D5" s="836" t="s">
        <v>547</v>
      </c>
      <c r="E5" s="836" t="s">
        <v>548</v>
      </c>
      <c r="F5" s="836" t="s">
        <v>554</v>
      </c>
      <c r="G5" s="839" t="s">
        <v>549</v>
      </c>
      <c r="H5" s="840"/>
      <c r="I5" s="841"/>
      <c r="J5" s="831" t="s">
        <v>555</v>
      </c>
      <c r="K5" s="833"/>
      <c r="L5" s="831" t="s">
        <v>556</v>
      </c>
      <c r="M5" s="832"/>
      <c r="N5" s="832"/>
      <c r="O5" s="833"/>
      <c r="P5" s="834" t="s">
        <v>557</v>
      </c>
      <c r="Q5" s="834"/>
      <c r="R5" s="834"/>
      <c r="S5" s="834"/>
      <c r="T5" s="817" t="s">
        <v>638</v>
      </c>
      <c r="U5" s="818"/>
      <c r="V5" s="817" t="s">
        <v>625</v>
      </c>
      <c r="W5" s="818"/>
      <c r="X5" s="817" t="s">
        <v>414</v>
      </c>
      <c r="Y5" s="818"/>
      <c r="Z5" s="842" t="s">
        <v>382</v>
      </c>
    </row>
    <row r="6" spans="1:28" ht="21" customHeight="1">
      <c r="A6" s="837"/>
      <c r="B6" s="837"/>
      <c r="C6" s="837"/>
      <c r="D6" s="837"/>
      <c r="E6" s="837"/>
      <c r="F6" s="837"/>
      <c r="G6" s="844" t="s">
        <v>558</v>
      </c>
      <c r="H6" s="844" t="s">
        <v>559</v>
      </c>
      <c r="I6" s="844" t="s">
        <v>560</v>
      </c>
      <c r="J6" s="277"/>
      <c r="K6" s="277"/>
      <c r="L6" s="826" t="s">
        <v>561</v>
      </c>
      <c r="M6" s="845" t="s">
        <v>562</v>
      </c>
      <c r="N6" s="846"/>
      <c r="O6" s="847"/>
      <c r="P6" s="828" t="s">
        <v>563</v>
      </c>
      <c r="Q6" s="829"/>
      <c r="R6" s="826" t="s">
        <v>564</v>
      </c>
      <c r="S6" s="826"/>
      <c r="T6" s="819" t="s">
        <v>41</v>
      </c>
      <c r="U6" s="822" t="s">
        <v>626</v>
      </c>
      <c r="V6" s="819" t="s">
        <v>41</v>
      </c>
      <c r="W6" s="822" t="s">
        <v>626</v>
      </c>
      <c r="X6" s="819" t="s">
        <v>41</v>
      </c>
      <c r="Y6" s="822" t="s">
        <v>626</v>
      </c>
      <c r="Z6" s="843"/>
    </row>
    <row r="7" spans="1:28">
      <c r="A7" s="837"/>
      <c r="B7" s="837"/>
      <c r="C7" s="837"/>
      <c r="D7" s="837"/>
      <c r="E7" s="837"/>
      <c r="F7" s="837"/>
      <c r="G7" s="844"/>
      <c r="H7" s="844"/>
      <c r="I7" s="844"/>
      <c r="J7" s="819" t="s">
        <v>565</v>
      </c>
      <c r="K7" s="819" t="s">
        <v>566</v>
      </c>
      <c r="L7" s="826"/>
      <c r="M7" s="826" t="s">
        <v>41</v>
      </c>
      <c r="N7" s="827" t="s">
        <v>63</v>
      </c>
      <c r="O7" s="827"/>
      <c r="P7" s="822" t="s">
        <v>550</v>
      </c>
      <c r="Q7" s="822" t="s">
        <v>566</v>
      </c>
      <c r="R7" s="826"/>
      <c r="S7" s="826"/>
      <c r="T7" s="820"/>
      <c r="U7" s="823"/>
      <c r="V7" s="820"/>
      <c r="W7" s="823"/>
      <c r="X7" s="820"/>
      <c r="Y7" s="823"/>
      <c r="Z7" s="843"/>
    </row>
    <row r="8" spans="1:28" ht="9.6" customHeight="1">
      <c r="A8" s="837"/>
      <c r="B8" s="838"/>
      <c r="C8" s="837"/>
      <c r="D8" s="837"/>
      <c r="E8" s="837"/>
      <c r="F8" s="837"/>
      <c r="G8" s="844"/>
      <c r="H8" s="844"/>
      <c r="I8" s="844"/>
      <c r="J8" s="821"/>
      <c r="K8" s="821"/>
      <c r="L8" s="826"/>
      <c r="M8" s="826"/>
      <c r="N8" s="278" t="s">
        <v>567</v>
      </c>
      <c r="O8" s="278" t="s">
        <v>568</v>
      </c>
      <c r="P8" s="823"/>
      <c r="Q8" s="823"/>
      <c r="R8" s="279" t="s">
        <v>550</v>
      </c>
      <c r="S8" s="279" t="s">
        <v>569</v>
      </c>
      <c r="T8" s="821"/>
      <c r="U8" s="280"/>
      <c r="V8" s="821"/>
      <c r="W8" s="280"/>
      <c r="X8" s="821"/>
      <c r="Y8" s="830"/>
      <c r="Z8" s="843"/>
    </row>
    <row r="9" spans="1:28" s="149" customFormat="1">
      <c r="A9" s="281">
        <v>1</v>
      </c>
      <c r="B9" s="281">
        <v>2</v>
      </c>
      <c r="C9" s="281">
        <v>3</v>
      </c>
      <c r="D9" s="281">
        <v>4</v>
      </c>
      <c r="E9" s="281">
        <v>5</v>
      </c>
      <c r="F9" s="281">
        <v>6</v>
      </c>
      <c r="G9" s="282">
        <v>7</v>
      </c>
      <c r="H9" s="282">
        <v>8</v>
      </c>
      <c r="I9" s="282">
        <v>9</v>
      </c>
      <c r="J9" s="283">
        <v>10</v>
      </c>
      <c r="K9" s="283">
        <v>11</v>
      </c>
      <c r="L9" s="283" t="s">
        <v>321</v>
      </c>
      <c r="M9" s="283" t="s">
        <v>322</v>
      </c>
      <c r="N9" s="283" t="s">
        <v>325</v>
      </c>
      <c r="O9" s="283" t="s">
        <v>326</v>
      </c>
      <c r="P9" s="283" t="s">
        <v>327</v>
      </c>
      <c r="Q9" s="283" t="s">
        <v>328</v>
      </c>
      <c r="R9" s="283" t="s">
        <v>570</v>
      </c>
      <c r="S9" s="283" t="s">
        <v>329</v>
      </c>
      <c r="T9" s="283" t="s">
        <v>571</v>
      </c>
      <c r="U9" s="283" t="s">
        <v>572</v>
      </c>
      <c r="V9" s="283" t="s">
        <v>571</v>
      </c>
      <c r="W9" s="283" t="s">
        <v>572</v>
      </c>
      <c r="X9" s="283" t="s">
        <v>573</v>
      </c>
      <c r="Y9" s="283" t="s">
        <v>574</v>
      </c>
      <c r="Z9" s="283" t="s">
        <v>575</v>
      </c>
      <c r="AA9" s="148"/>
    </row>
    <row r="10" spans="1:28" ht="21.75" customHeight="1">
      <c r="A10" s="284"/>
      <c r="B10" s="285" t="s">
        <v>576</v>
      </c>
      <c r="C10" s="285"/>
      <c r="D10" s="286"/>
      <c r="E10" s="285"/>
      <c r="F10" s="285"/>
      <c r="G10" s="285"/>
      <c r="H10" s="287">
        <f t="shared" ref="H10:Y10" si="0">+H11+H28+H53</f>
        <v>596800</v>
      </c>
      <c r="I10" s="287">
        <f t="shared" si="0"/>
        <v>319160</v>
      </c>
      <c r="J10" s="287">
        <f t="shared" si="0"/>
        <v>0</v>
      </c>
      <c r="K10" s="287">
        <f t="shared" si="0"/>
        <v>0</v>
      </c>
      <c r="L10" s="287">
        <f t="shared" si="0"/>
        <v>64889.4</v>
      </c>
      <c r="M10" s="287">
        <f t="shared" si="0"/>
        <v>64989.4</v>
      </c>
      <c r="N10" s="287">
        <f t="shared" si="0"/>
        <v>0</v>
      </c>
      <c r="O10" s="287">
        <f t="shared" si="0"/>
        <v>0</v>
      </c>
      <c r="P10" s="287">
        <f t="shared" si="0"/>
        <v>19153.400000000001</v>
      </c>
      <c r="Q10" s="287">
        <f t="shared" si="0"/>
        <v>19153.400000000001</v>
      </c>
      <c r="R10" s="287">
        <f t="shared" si="0"/>
        <v>19153.400000000001</v>
      </c>
      <c r="S10" s="287">
        <f t="shared" si="0"/>
        <v>19153.400000000001</v>
      </c>
      <c r="T10" s="287">
        <f t="shared" si="0"/>
        <v>81660</v>
      </c>
      <c r="U10" s="287">
        <f t="shared" si="0"/>
        <v>81660</v>
      </c>
      <c r="V10" s="287">
        <f t="shared" si="0"/>
        <v>29153.4</v>
      </c>
      <c r="W10" s="287">
        <f t="shared" si="0"/>
        <v>29153.4</v>
      </c>
      <c r="X10" s="287">
        <f t="shared" si="0"/>
        <v>104491</v>
      </c>
      <c r="Y10" s="287">
        <f t="shared" si="0"/>
        <v>104491</v>
      </c>
      <c r="Z10" s="288"/>
      <c r="AB10" s="9"/>
    </row>
    <row r="11" spans="1:28" ht="24">
      <c r="A11" s="289" t="s">
        <v>16</v>
      </c>
      <c r="B11" s="290" t="s">
        <v>577</v>
      </c>
      <c r="C11" s="291"/>
      <c r="D11" s="292"/>
      <c r="E11" s="291"/>
      <c r="F11" s="291"/>
      <c r="G11" s="293"/>
      <c r="H11" s="294">
        <f t="shared" ref="H11:Y11" si="1">H12+H21+H26</f>
        <v>44800</v>
      </c>
      <c r="I11" s="294">
        <f t="shared" si="1"/>
        <v>44800</v>
      </c>
      <c r="J11" s="294">
        <f t="shared" si="1"/>
        <v>0</v>
      </c>
      <c r="K11" s="294">
        <f t="shared" si="1"/>
        <v>0</v>
      </c>
      <c r="L11" s="294">
        <f t="shared" si="1"/>
        <v>18076.400000000001</v>
      </c>
      <c r="M11" s="294">
        <f t="shared" si="1"/>
        <v>18076.400000000001</v>
      </c>
      <c r="N11" s="294">
        <f t="shared" si="1"/>
        <v>0</v>
      </c>
      <c r="O11" s="294">
        <f t="shared" si="1"/>
        <v>0</v>
      </c>
      <c r="P11" s="295">
        <f t="shared" si="1"/>
        <v>553.4</v>
      </c>
      <c r="Q11" s="295">
        <f t="shared" si="1"/>
        <v>553.4</v>
      </c>
      <c r="R11" s="294">
        <f t="shared" si="1"/>
        <v>553.4</v>
      </c>
      <c r="S11" s="294">
        <f t="shared" si="1"/>
        <v>553.4</v>
      </c>
      <c r="T11" s="295">
        <f t="shared" ref="T11:U11" si="2">T12+T21+T26</f>
        <v>3500</v>
      </c>
      <c r="U11" s="295">
        <f t="shared" si="2"/>
        <v>3500</v>
      </c>
      <c r="V11" s="295">
        <f t="shared" si="1"/>
        <v>553.4</v>
      </c>
      <c r="W11" s="295">
        <f t="shared" si="1"/>
        <v>553.4</v>
      </c>
      <c r="X11" s="294">
        <f t="shared" si="1"/>
        <v>12662</v>
      </c>
      <c r="Y11" s="294">
        <f t="shared" si="1"/>
        <v>12662</v>
      </c>
      <c r="Z11" s="296"/>
    </row>
    <row r="12" spans="1:28" s="11" customFormat="1" ht="30" customHeight="1" outlineLevel="1">
      <c r="A12" s="289" t="s">
        <v>246</v>
      </c>
      <c r="B12" s="291" t="s">
        <v>578</v>
      </c>
      <c r="C12" s="297"/>
      <c r="D12" s="291"/>
      <c r="E12" s="291"/>
      <c r="F12" s="291"/>
      <c r="G12" s="298"/>
      <c r="H12" s="294">
        <f>+H13+H16+H19</f>
        <v>33800</v>
      </c>
      <c r="I12" s="294">
        <f>+I13+I16+I19</f>
        <v>33800</v>
      </c>
      <c r="J12" s="294">
        <f t="shared" ref="J12:O12" si="3">+J13+J16</f>
        <v>0</v>
      </c>
      <c r="K12" s="294">
        <f t="shared" si="3"/>
        <v>0</v>
      </c>
      <c r="L12" s="294">
        <f t="shared" si="3"/>
        <v>5444.4</v>
      </c>
      <c r="M12" s="294">
        <f t="shared" si="3"/>
        <v>5444.4</v>
      </c>
      <c r="N12" s="294">
        <f t="shared" si="3"/>
        <v>0</v>
      </c>
      <c r="O12" s="294">
        <f t="shared" si="3"/>
        <v>0</v>
      </c>
      <c r="P12" s="294">
        <f>+P13+P16+P19</f>
        <v>553.4</v>
      </c>
      <c r="Q12" s="294">
        <f>+Q13+Q16+Q19</f>
        <v>553.4</v>
      </c>
      <c r="R12" s="294">
        <f>+R13+R16</f>
        <v>553.4</v>
      </c>
      <c r="S12" s="294">
        <f>+S13+S16</f>
        <v>553.4</v>
      </c>
      <c r="T12" s="294">
        <f t="shared" ref="T12:Y12" si="4">+T13+T16+T19</f>
        <v>3500</v>
      </c>
      <c r="U12" s="294">
        <f t="shared" si="4"/>
        <v>3500</v>
      </c>
      <c r="V12" s="294">
        <f t="shared" si="4"/>
        <v>553.4</v>
      </c>
      <c r="W12" s="294">
        <f t="shared" si="4"/>
        <v>553.4</v>
      </c>
      <c r="X12" s="294">
        <f t="shared" si="4"/>
        <v>7832</v>
      </c>
      <c r="Y12" s="294">
        <f t="shared" si="4"/>
        <v>7832</v>
      </c>
      <c r="Z12" s="299"/>
      <c r="AA12" s="10"/>
    </row>
    <row r="13" spans="1:28" s="11" customFormat="1" ht="30" customHeight="1" outlineLevel="1">
      <c r="A13" s="289" t="s">
        <v>579</v>
      </c>
      <c r="B13" s="300" t="s">
        <v>580</v>
      </c>
      <c r="C13" s="291"/>
      <c r="D13" s="291"/>
      <c r="E13" s="291"/>
      <c r="F13" s="291"/>
      <c r="G13" s="291"/>
      <c r="H13" s="301">
        <f>SUM(H14:H15)</f>
        <v>13300</v>
      </c>
      <c r="I13" s="301">
        <f>SUM(I14:I15)</f>
        <v>13300</v>
      </c>
      <c r="J13" s="302">
        <f t="shared" ref="J13:Y13" si="5">SUM(J14:J15)</f>
        <v>0</v>
      </c>
      <c r="K13" s="302">
        <f t="shared" si="5"/>
        <v>0</v>
      </c>
      <c r="L13" s="302">
        <f t="shared" si="5"/>
        <v>2714.4</v>
      </c>
      <c r="M13" s="302">
        <f t="shared" si="5"/>
        <v>2714.4</v>
      </c>
      <c r="N13" s="302">
        <f t="shared" si="5"/>
        <v>0</v>
      </c>
      <c r="O13" s="302">
        <f t="shared" si="5"/>
        <v>0</v>
      </c>
      <c r="P13" s="301">
        <f t="shared" si="5"/>
        <v>553.4</v>
      </c>
      <c r="Q13" s="301">
        <f t="shared" si="5"/>
        <v>553.4</v>
      </c>
      <c r="R13" s="301">
        <f t="shared" si="5"/>
        <v>553.4</v>
      </c>
      <c r="S13" s="301">
        <f t="shared" si="5"/>
        <v>553.4</v>
      </c>
      <c r="T13" s="302">
        <f t="shared" ref="T13:U13" si="6">SUM(T14:T15)</f>
        <v>3500</v>
      </c>
      <c r="U13" s="302">
        <f t="shared" si="6"/>
        <v>3500</v>
      </c>
      <c r="V13" s="302">
        <f t="shared" si="5"/>
        <v>553.4</v>
      </c>
      <c r="W13" s="302">
        <f t="shared" si="5"/>
        <v>553.4</v>
      </c>
      <c r="X13" s="301">
        <f t="shared" si="5"/>
        <v>2102</v>
      </c>
      <c r="Y13" s="301">
        <f t="shared" si="5"/>
        <v>2102</v>
      </c>
      <c r="Z13" s="299"/>
      <c r="AA13" s="10"/>
    </row>
    <row r="14" spans="1:28" s="11" customFormat="1" ht="46.5" customHeight="1" outlineLevel="1">
      <c r="A14" s="303" t="s">
        <v>310</v>
      </c>
      <c r="B14" s="304" t="s">
        <v>581</v>
      </c>
      <c r="C14" s="305" t="s">
        <v>582</v>
      </c>
      <c r="D14" s="306" t="s">
        <v>583</v>
      </c>
      <c r="E14" s="306"/>
      <c r="F14" s="306" t="s">
        <v>584</v>
      </c>
      <c r="G14" s="307" t="s">
        <v>585</v>
      </c>
      <c r="H14" s="308">
        <v>9800</v>
      </c>
      <c r="I14" s="308">
        <v>9800</v>
      </c>
      <c r="J14" s="309"/>
      <c r="K14" s="309"/>
      <c r="L14" s="310">
        <f>M14</f>
        <v>1898</v>
      </c>
      <c r="M14" s="310">
        <v>1898</v>
      </c>
      <c r="N14" s="294"/>
      <c r="O14" s="294"/>
      <c r="P14" s="311"/>
      <c r="Q14" s="312"/>
      <c r="R14" s="301"/>
      <c r="S14" s="301"/>
      <c r="T14" s="313"/>
      <c r="U14" s="313"/>
      <c r="V14" s="313"/>
      <c r="W14" s="313"/>
      <c r="X14" s="313">
        <f t="shared" ref="X14:X15" si="7">+Y14</f>
        <v>1700</v>
      </c>
      <c r="Y14" s="310">
        <v>1700</v>
      </c>
      <c r="Z14" s="296"/>
      <c r="AA14" s="10"/>
    </row>
    <row r="15" spans="1:28" s="11" customFormat="1" ht="43.5" customHeight="1" outlineLevel="1">
      <c r="A15" s="303" t="s">
        <v>311</v>
      </c>
      <c r="B15" s="304" t="s">
        <v>586</v>
      </c>
      <c r="C15" s="305" t="s">
        <v>582</v>
      </c>
      <c r="D15" s="306" t="s">
        <v>583</v>
      </c>
      <c r="E15" s="306"/>
      <c r="F15" s="306" t="s">
        <v>584</v>
      </c>
      <c r="G15" s="307" t="s">
        <v>587</v>
      </c>
      <c r="H15" s="308">
        <v>3500</v>
      </c>
      <c r="I15" s="308">
        <v>3500</v>
      </c>
      <c r="J15" s="309"/>
      <c r="K15" s="309"/>
      <c r="L15" s="310">
        <f>M15</f>
        <v>816.4</v>
      </c>
      <c r="M15" s="310">
        <f>553.4+263</f>
        <v>816.4</v>
      </c>
      <c r="N15" s="294"/>
      <c r="O15" s="294"/>
      <c r="P15" s="314">
        <f>+Q15</f>
        <v>553.4</v>
      </c>
      <c r="Q15" s="315">
        <v>553.4</v>
      </c>
      <c r="R15" s="316">
        <f>+S15</f>
        <v>553.4</v>
      </c>
      <c r="S15" s="316">
        <v>553.4</v>
      </c>
      <c r="T15" s="316">
        <f>+U15</f>
        <v>3500</v>
      </c>
      <c r="U15" s="316">
        <f>O15+I15</f>
        <v>3500</v>
      </c>
      <c r="V15" s="316">
        <f>+W15</f>
        <v>553.4</v>
      </c>
      <c r="W15" s="316">
        <f>Q15+K15</f>
        <v>553.4</v>
      </c>
      <c r="X15" s="313">
        <f t="shared" si="7"/>
        <v>402</v>
      </c>
      <c r="Y15" s="313">
        <f>402</f>
        <v>402</v>
      </c>
      <c r="Z15" s="296"/>
      <c r="AA15" s="10"/>
    </row>
    <row r="16" spans="1:28" s="11" customFormat="1" ht="21.75" customHeight="1" outlineLevel="1">
      <c r="A16" s="289" t="s">
        <v>588</v>
      </c>
      <c r="B16" s="300" t="s">
        <v>589</v>
      </c>
      <c r="C16" s="291"/>
      <c r="D16" s="291"/>
      <c r="E16" s="291"/>
      <c r="F16" s="291"/>
      <c r="G16" s="291"/>
      <c r="H16" s="317">
        <f t="shared" ref="H16:W16" si="8">SUM(H17:H18)</f>
        <v>20500</v>
      </c>
      <c r="I16" s="317">
        <f t="shared" si="8"/>
        <v>20500</v>
      </c>
      <c r="J16" s="317">
        <f t="shared" si="8"/>
        <v>0</v>
      </c>
      <c r="K16" s="317">
        <f t="shared" si="8"/>
        <v>0</v>
      </c>
      <c r="L16" s="317">
        <f t="shared" si="8"/>
        <v>2730</v>
      </c>
      <c r="M16" s="317">
        <f t="shared" si="8"/>
        <v>2730</v>
      </c>
      <c r="N16" s="317">
        <f t="shared" si="8"/>
        <v>0</v>
      </c>
      <c r="O16" s="317">
        <f t="shared" si="8"/>
        <v>0</v>
      </c>
      <c r="P16" s="317">
        <f t="shared" si="8"/>
        <v>0</v>
      </c>
      <c r="Q16" s="317">
        <f t="shared" si="8"/>
        <v>0</v>
      </c>
      <c r="R16" s="317">
        <f t="shared" si="8"/>
        <v>0</v>
      </c>
      <c r="S16" s="317">
        <f t="shared" si="8"/>
        <v>0</v>
      </c>
      <c r="T16" s="317">
        <f t="shared" ref="T16:U16" si="9">SUM(T17:T18)</f>
        <v>0</v>
      </c>
      <c r="U16" s="317">
        <f t="shared" si="9"/>
        <v>0</v>
      </c>
      <c r="V16" s="317">
        <f t="shared" si="8"/>
        <v>0</v>
      </c>
      <c r="W16" s="317">
        <f t="shared" si="8"/>
        <v>0</v>
      </c>
      <c r="X16" s="317">
        <f>SUM(X17:X18)</f>
        <v>2730</v>
      </c>
      <c r="Y16" s="317">
        <f>SUM(Y17:Y18)</f>
        <v>2730</v>
      </c>
      <c r="Z16" s="299"/>
      <c r="AA16" s="10"/>
    </row>
    <row r="17" spans="1:31" ht="39.75" customHeight="1">
      <c r="A17" s="303" t="s">
        <v>310</v>
      </c>
      <c r="B17" s="318" t="s">
        <v>590</v>
      </c>
      <c r="C17" s="305" t="s">
        <v>582</v>
      </c>
      <c r="D17" s="319" t="s">
        <v>591</v>
      </c>
      <c r="E17" s="306"/>
      <c r="F17" s="306" t="s">
        <v>584</v>
      </c>
      <c r="G17" s="307" t="s">
        <v>592</v>
      </c>
      <c r="H17" s="320">
        <f>+I17</f>
        <v>12700</v>
      </c>
      <c r="I17" s="320">
        <v>12700</v>
      </c>
      <c r="J17" s="321"/>
      <c r="K17" s="321"/>
      <c r="L17" s="310">
        <f>+M17</f>
        <v>1690</v>
      </c>
      <c r="M17" s="313">
        <v>1690</v>
      </c>
      <c r="N17" s="321"/>
      <c r="O17" s="321"/>
      <c r="P17" s="322"/>
      <c r="Q17" s="315"/>
      <c r="R17" s="313"/>
      <c r="S17" s="313"/>
      <c r="T17" s="313"/>
      <c r="U17" s="313"/>
      <c r="V17" s="313"/>
      <c r="W17" s="313"/>
      <c r="X17" s="313">
        <f>+Y17</f>
        <v>1690</v>
      </c>
      <c r="Y17" s="313">
        <v>1690</v>
      </c>
      <c r="Z17" s="323"/>
      <c r="AB17" s="9"/>
    </row>
    <row r="18" spans="1:31" ht="79.5" customHeight="1">
      <c r="A18" s="303" t="s">
        <v>311</v>
      </c>
      <c r="B18" s="324" t="s">
        <v>593</v>
      </c>
      <c r="C18" s="305" t="s">
        <v>582</v>
      </c>
      <c r="D18" s="319" t="s">
        <v>583</v>
      </c>
      <c r="E18" s="306"/>
      <c r="F18" s="306" t="s">
        <v>584</v>
      </c>
      <c r="G18" s="307" t="s">
        <v>594</v>
      </c>
      <c r="H18" s="308">
        <f>+I18</f>
        <v>7800</v>
      </c>
      <c r="I18" s="310">
        <v>7800</v>
      </c>
      <c r="J18" s="309"/>
      <c r="K18" s="309"/>
      <c r="L18" s="310">
        <f t="shared" ref="L18" si="10">+M18</f>
        <v>1040</v>
      </c>
      <c r="M18" s="310">
        <v>1040</v>
      </c>
      <c r="N18" s="294"/>
      <c r="O18" s="294"/>
      <c r="P18" s="311"/>
      <c r="Q18" s="315"/>
      <c r="R18" s="313"/>
      <c r="S18" s="313"/>
      <c r="T18" s="313"/>
      <c r="U18" s="313"/>
      <c r="V18" s="313"/>
      <c r="W18" s="313"/>
      <c r="X18" s="313">
        <f>+Y18</f>
        <v>1040</v>
      </c>
      <c r="Y18" s="310">
        <v>1040</v>
      </c>
      <c r="Z18" s="323"/>
      <c r="AB18" s="9"/>
    </row>
    <row r="19" spans="1:31">
      <c r="A19" s="289" t="s">
        <v>595</v>
      </c>
      <c r="B19" s="300" t="s">
        <v>596</v>
      </c>
      <c r="C19" s="305"/>
      <c r="D19" s="319"/>
      <c r="E19" s="306"/>
      <c r="F19" s="306"/>
      <c r="G19" s="307"/>
      <c r="H19" s="308"/>
      <c r="I19" s="310"/>
      <c r="J19" s="309"/>
      <c r="K19" s="309"/>
      <c r="L19" s="310"/>
      <c r="M19" s="310"/>
      <c r="N19" s="294"/>
      <c r="O19" s="294"/>
      <c r="P19" s="311"/>
      <c r="Q19" s="315"/>
      <c r="R19" s="313"/>
      <c r="S19" s="313"/>
      <c r="T19" s="313"/>
      <c r="U19" s="313"/>
      <c r="V19" s="313"/>
      <c r="W19" s="313"/>
      <c r="X19" s="325">
        <f>X20</f>
        <v>3000</v>
      </c>
      <c r="Y19" s="325">
        <f>Y20</f>
        <v>3000</v>
      </c>
      <c r="Z19" s="323"/>
      <c r="AB19" s="9"/>
    </row>
    <row r="20" spans="1:31" ht="36" hidden="1" customHeight="1">
      <c r="A20" s="326">
        <v>1</v>
      </c>
      <c r="B20" s="327" t="s">
        <v>597</v>
      </c>
      <c r="C20" s="305" t="s">
        <v>598</v>
      </c>
      <c r="D20" s="319" t="s">
        <v>583</v>
      </c>
      <c r="E20" s="306"/>
      <c r="F20" s="306" t="s">
        <v>599</v>
      </c>
      <c r="G20" s="307"/>
      <c r="H20" s="308">
        <f>I20</f>
        <v>6200</v>
      </c>
      <c r="I20" s="310">
        <v>6200</v>
      </c>
      <c r="J20" s="309"/>
      <c r="K20" s="309"/>
      <c r="L20" s="310">
        <f>+M20</f>
        <v>3139</v>
      </c>
      <c r="M20" s="310">
        <v>3139</v>
      </c>
      <c r="N20" s="294"/>
      <c r="O20" s="294"/>
      <c r="P20" s="311"/>
      <c r="Q20" s="315"/>
      <c r="R20" s="313"/>
      <c r="S20" s="313"/>
      <c r="T20" s="313"/>
      <c r="U20" s="313"/>
      <c r="V20" s="313"/>
      <c r="W20" s="313"/>
      <c r="X20" s="328">
        <f>Y20</f>
        <v>3000</v>
      </c>
      <c r="Y20" s="328">
        <v>3000</v>
      </c>
      <c r="Z20" s="323"/>
      <c r="AB20" s="9"/>
    </row>
    <row r="21" spans="1:31" s="11" customFormat="1" ht="39.75" customHeight="1" outlineLevel="1">
      <c r="A21" s="289" t="s">
        <v>271</v>
      </c>
      <c r="B21" s="291" t="s">
        <v>600</v>
      </c>
      <c r="C21" s="297"/>
      <c r="D21" s="291"/>
      <c r="E21" s="291"/>
      <c r="F21" s="291"/>
      <c r="G21" s="298"/>
      <c r="H21" s="294">
        <f t="shared" ref="H21:X21" si="11">+H22+H23</f>
        <v>11000</v>
      </c>
      <c r="I21" s="294">
        <f t="shared" si="11"/>
        <v>11000</v>
      </c>
      <c r="J21" s="294">
        <f t="shared" si="11"/>
        <v>0</v>
      </c>
      <c r="K21" s="294">
        <f t="shared" si="11"/>
        <v>0</v>
      </c>
      <c r="L21" s="294">
        <f t="shared" si="11"/>
        <v>2632</v>
      </c>
      <c r="M21" s="294">
        <f t="shared" si="11"/>
        <v>2632</v>
      </c>
      <c r="N21" s="294">
        <f t="shared" si="11"/>
        <v>0</v>
      </c>
      <c r="O21" s="294">
        <f t="shared" si="11"/>
        <v>0</v>
      </c>
      <c r="P21" s="294">
        <f t="shared" si="11"/>
        <v>0</v>
      </c>
      <c r="Q21" s="294">
        <f t="shared" si="11"/>
        <v>0</v>
      </c>
      <c r="R21" s="294">
        <f t="shared" si="11"/>
        <v>0</v>
      </c>
      <c r="S21" s="294">
        <f t="shared" si="11"/>
        <v>0</v>
      </c>
      <c r="T21" s="294">
        <f t="shared" ref="T21:U21" si="12">+T22+T23</f>
        <v>0</v>
      </c>
      <c r="U21" s="294">
        <f t="shared" si="12"/>
        <v>0</v>
      </c>
      <c r="V21" s="294">
        <f t="shared" si="11"/>
        <v>0</v>
      </c>
      <c r="W21" s="294">
        <f t="shared" si="11"/>
        <v>0</v>
      </c>
      <c r="X21" s="294">
        <f t="shared" si="11"/>
        <v>2330</v>
      </c>
      <c r="Y21" s="294">
        <f>+Y22+Y23</f>
        <v>2330</v>
      </c>
      <c r="Z21" s="299"/>
      <c r="AA21" s="10"/>
    </row>
    <row r="22" spans="1:31" s="11" customFormat="1" ht="28.5" customHeight="1" outlineLevel="1">
      <c r="A22" s="289" t="s">
        <v>579</v>
      </c>
      <c r="B22" s="300" t="s">
        <v>580</v>
      </c>
      <c r="C22" s="297"/>
      <c r="D22" s="291"/>
      <c r="E22" s="291"/>
      <c r="F22" s="291"/>
      <c r="G22" s="298"/>
      <c r="H22" s="294"/>
      <c r="I22" s="294"/>
      <c r="J22" s="294"/>
      <c r="K22" s="294"/>
      <c r="L22" s="294"/>
      <c r="M22" s="294"/>
      <c r="N22" s="294"/>
      <c r="O22" s="294"/>
      <c r="P22" s="294"/>
      <c r="Q22" s="294"/>
      <c r="R22" s="294"/>
      <c r="S22" s="294"/>
      <c r="T22" s="294"/>
      <c r="U22" s="294"/>
      <c r="V22" s="294"/>
      <c r="W22" s="294"/>
      <c r="X22" s="294"/>
      <c r="Y22" s="294"/>
      <c r="Z22" s="299"/>
      <c r="AA22" s="10"/>
    </row>
    <row r="23" spans="1:31" s="11" customFormat="1" outlineLevel="1">
      <c r="A23" s="289" t="s">
        <v>588</v>
      </c>
      <c r="B23" s="300" t="s">
        <v>596</v>
      </c>
      <c r="C23" s="291"/>
      <c r="D23" s="291"/>
      <c r="E23" s="291"/>
      <c r="F23" s="291"/>
      <c r="G23" s="298"/>
      <c r="H23" s="294">
        <f t="shared" ref="H23:X23" si="13">SUM(H24:H25)</f>
        <v>11000</v>
      </c>
      <c r="I23" s="294">
        <f t="shared" si="13"/>
        <v>11000</v>
      </c>
      <c r="J23" s="294">
        <f t="shared" si="13"/>
        <v>0</v>
      </c>
      <c r="K23" s="294">
        <f t="shared" si="13"/>
        <v>0</v>
      </c>
      <c r="L23" s="294">
        <f t="shared" si="13"/>
        <v>2632</v>
      </c>
      <c r="M23" s="294">
        <f t="shared" si="13"/>
        <v>2632</v>
      </c>
      <c r="N23" s="294">
        <f t="shared" si="13"/>
        <v>0</v>
      </c>
      <c r="O23" s="294">
        <f t="shared" si="13"/>
        <v>0</v>
      </c>
      <c r="P23" s="294">
        <f t="shared" si="13"/>
        <v>0</v>
      </c>
      <c r="Q23" s="294">
        <f t="shared" si="13"/>
        <v>0</v>
      </c>
      <c r="R23" s="294">
        <f t="shared" si="13"/>
        <v>0</v>
      </c>
      <c r="S23" s="294">
        <f t="shared" si="13"/>
        <v>0</v>
      </c>
      <c r="T23" s="294">
        <f t="shared" ref="T23:U23" si="14">SUM(T24:T25)</f>
        <v>0</v>
      </c>
      <c r="U23" s="294">
        <f t="shared" si="14"/>
        <v>0</v>
      </c>
      <c r="V23" s="294">
        <f t="shared" si="13"/>
        <v>0</v>
      </c>
      <c r="W23" s="294">
        <f t="shared" si="13"/>
        <v>0</v>
      </c>
      <c r="X23" s="294">
        <f t="shared" si="13"/>
        <v>2330</v>
      </c>
      <c r="Y23" s="294">
        <f>SUM(Y24:Y25)</f>
        <v>2330</v>
      </c>
      <c r="Z23" s="299"/>
      <c r="AA23" s="10"/>
    </row>
    <row r="24" spans="1:31" ht="37.5" customHeight="1" outlineLevel="1">
      <c r="A24" s="326" t="s">
        <v>310</v>
      </c>
      <c r="B24" s="329" t="s">
        <v>601</v>
      </c>
      <c r="C24" s="306" t="s">
        <v>582</v>
      </c>
      <c r="D24" s="306" t="s">
        <v>159</v>
      </c>
      <c r="E24" s="306"/>
      <c r="F24" s="306">
        <v>2022</v>
      </c>
      <c r="G24" s="306"/>
      <c r="H24" s="330">
        <f>+I24</f>
        <v>1000</v>
      </c>
      <c r="I24" s="310">
        <v>1000</v>
      </c>
      <c r="J24" s="310"/>
      <c r="K24" s="310"/>
      <c r="L24" s="330">
        <f>+M24</f>
        <v>752</v>
      </c>
      <c r="M24" s="310">
        <v>752</v>
      </c>
      <c r="N24" s="294"/>
      <c r="O24" s="294"/>
      <c r="P24" s="311"/>
      <c r="Q24" s="312"/>
      <c r="R24" s="301"/>
      <c r="S24" s="301"/>
      <c r="T24" s="313"/>
      <c r="U24" s="313"/>
      <c r="V24" s="313"/>
      <c r="W24" s="313"/>
      <c r="X24" s="313">
        <v>752</v>
      </c>
      <c r="Y24" s="313">
        <v>752</v>
      </c>
      <c r="Z24" s="296"/>
    </row>
    <row r="25" spans="1:31" ht="75" customHeight="1" outlineLevel="1">
      <c r="A25" s="326" t="s">
        <v>311</v>
      </c>
      <c r="B25" s="329" t="s">
        <v>602</v>
      </c>
      <c r="C25" s="306" t="s">
        <v>582</v>
      </c>
      <c r="D25" s="306" t="s">
        <v>167</v>
      </c>
      <c r="E25" s="306"/>
      <c r="F25" s="306" t="s">
        <v>599</v>
      </c>
      <c r="G25" s="306"/>
      <c r="H25" s="330">
        <f>+I25</f>
        <v>10000</v>
      </c>
      <c r="I25" s="310">
        <v>10000</v>
      </c>
      <c r="J25" s="310"/>
      <c r="K25" s="310"/>
      <c r="L25" s="330">
        <f>+M25</f>
        <v>1880</v>
      </c>
      <c r="M25" s="310">
        <v>1880</v>
      </c>
      <c r="N25" s="294"/>
      <c r="O25" s="294"/>
      <c r="P25" s="311"/>
      <c r="Q25" s="312"/>
      <c r="R25" s="301"/>
      <c r="S25" s="301"/>
      <c r="T25" s="313"/>
      <c r="U25" s="313"/>
      <c r="V25" s="313"/>
      <c r="W25" s="313"/>
      <c r="X25" s="313">
        <f>+Y25</f>
        <v>1578</v>
      </c>
      <c r="Y25" s="313">
        <f>2330-752</f>
        <v>1578</v>
      </c>
      <c r="Z25" s="296"/>
    </row>
    <row r="26" spans="1:31" s="11" customFormat="1" outlineLevel="1">
      <c r="A26" s="289" t="s">
        <v>603</v>
      </c>
      <c r="B26" s="291" t="s">
        <v>604</v>
      </c>
      <c r="C26" s="297"/>
      <c r="D26" s="291"/>
      <c r="E26" s="291"/>
      <c r="F26" s="291"/>
      <c r="G26" s="298"/>
      <c r="H26" s="294"/>
      <c r="I26" s="294"/>
      <c r="J26" s="294">
        <f t="shared" ref="J26:K26" si="15">+J27</f>
        <v>0</v>
      </c>
      <c r="K26" s="294">
        <f t="shared" si="15"/>
        <v>0</v>
      </c>
      <c r="L26" s="294">
        <f>+L27</f>
        <v>10000</v>
      </c>
      <c r="M26" s="294">
        <f>+M27</f>
        <v>10000</v>
      </c>
      <c r="N26" s="294">
        <f t="shared" ref="N26:O26" si="16">+N27</f>
        <v>0</v>
      </c>
      <c r="O26" s="294">
        <f t="shared" si="16"/>
        <v>0</v>
      </c>
      <c r="P26" s="294"/>
      <c r="Q26" s="294"/>
      <c r="R26" s="294"/>
      <c r="S26" s="294"/>
      <c r="T26" s="294"/>
      <c r="U26" s="294"/>
      <c r="V26" s="294"/>
      <c r="W26" s="294"/>
      <c r="X26" s="294">
        <f>X27</f>
        <v>2500</v>
      </c>
      <c r="Y26" s="294">
        <v>2500</v>
      </c>
      <c r="Z26" s="299"/>
      <c r="AA26" s="10"/>
    </row>
    <row r="27" spans="1:31" s="11" customFormat="1" ht="30" hidden="1" customHeight="1" outlineLevel="1">
      <c r="A27" s="326">
        <v>1</v>
      </c>
      <c r="B27" s="329" t="s">
        <v>605</v>
      </c>
      <c r="C27" s="305" t="s">
        <v>582</v>
      </c>
      <c r="D27" s="319" t="s">
        <v>583</v>
      </c>
      <c r="E27" s="291"/>
      <c r="F27" s="306" t="s">
        <v>599</v>
      </c>
      <c r="G27" s="291"/>
      <c r="H27" s="313">
        <f>I27</f>
        <v>16000</v>
      </c>
      <c r="I27" s="313">
        <v>16000</v>
      </c>
      <c r="J27" s="301"/>
      <c r="K27" s="301"/>
      <c r="L27" s="313">
        <f>+M27</f>
        <v>10000</v>
      </c>
      <c r="M27" s="313">
        <v>10000</v>
      </c>
      <c r="N27" s="301"/>
      <c r="O27" s="301"/>
      <c r="P27" s="301"/>
      <c r="Q27" s="301"/>
      <c r="R27" s="301"/>
      <c r="S27" s="301"/>
      <c r="T27" s="301"/>
      <c r="U27" s="301"/>
      <c r="V27" s="301"/>
      <c r="W27" s="301"/>
      <c r="X27" s="313">
        <f>Y27</f>
        <v>2500</v>
      </c>
      <c r="Y27" s="313">
        <f>Y26</f>
        <v>2500</v>
      </c>
      <c r="Z27" s="323"/>
      <c r="AA27" s="10"/>
    </row>
    <row r="28" spans="1:31" ht="24" collapsed="1">
      <c r="A28" s="289" t="s">
        <v>606</v>
      </c>
      <c r="B28" s="291" t="s">
        <v>607</v>
      </c>
      <c r="C28" s="291"/>
      <c r="D28" s="292"/>
      <c r="E28" s="291"/>
      <c r="F28" s="291"/>
      <c r="G28" s="293">
        <f>SUM(G34:G52)</f>
        <v>0</v>
      </c>
      <c r="H28" s="294">
        <f t="shared" ref="H28:S28" si="17">H32+H37+H41+H52</f>
        <v>552000</v>
      </c>
      <c r="I28" s="294">
        <f t="shared" si="17"/>
        <v>274360</v>
      </c>
      <c r="J28" s="294">
        <f t="shared" si="17"/>
        <v>0</v>
      </c>
      <c r="K28" s="294">
        <f t="shared" si="17"/>
        <v>0</v>
      </c>
      <c r="L28" s="294">
        <f t="shared" si="17"/>
        <v>45945</v>
      </c>
      <c r="M28" s="294">
        <f t="shared" si="17"/>
        <v>46045</v>
      </c>
      <c r="N28" s="294">
        <f t="shared" si="17"/>
        <v>0</v>
      </c>
      <c r="O28" s="294">
        <f t="shared" si="17"/>
        <v>0</v>
      </c>
      <c r="P28" s="295">
        <f t="shared" si="17"/>
        <v>18600</v>
      </c>
      <c r="Q28" s="295">
        <f t="shared" si="17"/>
        <v>18600</v>
      </c>
      <c r="R28" s="294">
        <f t="shared" si="17"/>
        <v>18600</v>
      </c>
      <c r="S28" s="294">
        <f t="shared" si="17"/>
        <v>18600</v>
      </c>
      <c r="T28" s="295">
        <f t="shared" ref="T28:Y28" si="18">T29+T32+T37+T41+T52</f>
        <v>78160</v>
      </c>
      <c r="U28" s="295">
        <f t="shared" si="18"/>
        <v>78160</v>
      </c>
      <c r="V28" s="295">
        <f t="shared" si="18"/>
        <v>28600</v>
      </c>
      <c r="W28" s="295">
        <f t="shared" si="18"/>
        <v>28600</v>
      </c>
      <c r="X28" s="295">
        <f t="shared" si="18"/>
        <v>91059</v>
      </c>
      <c r="Y28" s="295">
        <f t="shared" si="18"/>
        <v>91059</v>
      </c>
      <c r="Z28" s="296"/>
      <c r="AB28" s="9"/>
      <c r="AD28" s="4">
        <f>+AE28-AC28</f>
        <v>0</v>
      </c>
      <c r="AE28" s="4">
        <f>+AB28*0.1</f>
        <v>0</v>
      </c>
    </row>
    <row r="29" spans="1:31" ht="25.5">
      <c r="A29" s="289" t="s">
        <v>579</v>
      </c>
      <c r="B29" s="390" t="s">
        <v>580</v>
      </c>
      <c r="C29" s="291"/>
      <c r="D29" s="292"/>
      <c r="E29" s="291"/>
      <c r="F29" s="291"/>
      <c r="G29" s="293"/>
      <c r="H29" s="294"/>
      <c r="I29" s="294"/>
      <c r="J29" s="294"/>
      <c r="K29" s="294"/>
      <c r="L29" s="294"/>
      <c r="M29" s="294"/>
      <c r="N29" s="294"/>
      <c r="O29" s="294"/>
      <c r="P29" s="295"/>
      <c r="Q29" s="295"/>
      <c r="R29" s="294"/>
      <c r="S29" s="294"/>
      <c r="T29" s="295">
        <f>SUM(T30:T31)</f>
        <v>10000</v>
      </c>
      <c r="U29" s="295">
        <f t="shared" ref="U29:Y29" si="19">SUM(U30:U31)</f>
        <v>10000</v>
      </c>
      <c r="V29" s="295">
        <f t="shared" si="19"/>
        <v>10000</v>
      </c>
      <c r="W29" s="295">
        <f t="shared" si="19"/>
        <v>10000</v>
      </c>
      <c r="X29" s="295">
        <f t="shared" si="19"/>
        <v>1500</v>
      </c>
      <c r="Y29" s="295">
        <f t="shared" si="19"/>
        <v>1500</v>
      </c>
      <c r="Z29" s="296"/>
      <c r="AB29" s="9"/>
    </row>
    <row r="30" spans="1:31" ht="25.5">
      <c r="A30" s="289" t="s">
        <v>20</v>
      </c>
      <c r="B30" s="391" t="s">
        <v>590</v>
      </c>
      <c r="C30" s="291"/>
      <c r="D30" s="292"/>
      <c r="E30" s="291"/>
      <c r="F30" s="291"/>
      <c r="G30" s="293"/>
      <c r="H30" s="294"/>
      <c r="I30" s="294"/>
      <c r="J30" s="294"/>
      <c r="K30" s="294"/>
      <c r="L30" s="294"/>
      <c r="M30" s="294"/>
      <c r="N30" s="294"/>
      <c r="O30" s="294"/>
      <c r="P30" s="295"/>
      <c r="Q30" s="295"/>
      <c r="R30" s="294"/>
      <c r="S30" s="294"/>
      <c r="T30" s="313">
        <f t="shared" ref="T30:T31" si="20">+U30</f>
        <v>10000</v>
      </c>
      <c r="U30" s="393">
        <v>10000</v>
      </c>
      <c r="V30" s="313">
        <f t="shared" ref="V30" si="21">+W30</f>
        <v>10000</v>
      </c>
      <c r="W30" s="393">
        <v>10000</v>
      </c>
      <c r="X30" s="313">
        <f t="shared" ref="X30:X31" si="22">+Y30</f>
        <v>1000</v>
      </c>
      <c r="Y30" s="394">
        <v>1000</v>
      </c>
      <c r="Z30" s="296"/>
      <c r="AB30" s="9"/>
    </row>
    <row r="31" spans="1:31" ht="25.5">
      <c r="A31" s="289" t="s">
        <v>20</v>
      </c>
      <c r="B31" s="392" t="s">
        <v>586</v>
      </c>
      <c r="C31" s="291"/>
      <c r="D31" s="292"/>
      <c r="E31" s="291"/>
      <c r="F31" s="291"/>
      <c r="G31" s="293"/>
      <c r="H31" s="294"/>
      <c r="I31" s="294"/>
      <c r="J31" s="294"/>
      <c r="K31" s="294"/>
      <c r="L31" s="294"/>
      <c r="M31" s="294"/>
      <c r="N31" s="294"/>
      <c r="O31" s="294"/>
      <c r="P31" s="295"/>
      <c r="Q31" s="295"/>
      <c r="R31" s="294"/>
      <c r="S31" s="294"/>
      <c r="T31" s="313">
        <f t="shared" si="20"/>
        <v>0</v>
      </c>
      <c r="U31" s="295"/>
      <c r="V31" s="295"/>
      <c r="W31" s="295"/>
      <c r="X31" s="313">
        <f t="shared" si="22"/>
        <v>500</v>
      </c>
      <c r="Y31" s="394">
        <v>500</v>
      </c>
      <c r="Z31" s="296"/>
      <c r="AB31" s="9"/>
    </row>
    <row r="32" spans="1:31" s="11" customFormat="1" ht="24.75" customHeight="1">
      <c r="A32" s="289" t="s">
        <v>588</v>
      </c>
      <c r="B32" s="300" t="s">
        <v>589</v>
      </c>
      <c r="C32" s="291"/>
      <c r="D32" s="291"/>
      <c r="E32" s="291"/>
      <c r="F32" s="291"/>
      <c r="G32" s="298"/>
      <c r="H32" s="294">
        <f>SUM(H33:H36)</f>
        <v>500800</v>
      </c>
      <c r="I32" s="294">
        <f>SUM(I33:I36)</f>
        <v>224000</v>
      </c>
      <c r="J32" s="294">
        <f t="shared" ref="J32:O32" si="23">SUM(J33:J33)</f>
        <v>0</v>
      </c>
      <c r="K32" s="294">
        <f t="shared" si="23"/>
        <v>0</v>
      </c>
      <c r="L32" s="294">
        <f t="shared" si="23"/>
        <v>5745</v>
      </c>
      <c r="M32" s="294">
        <f t="shared" si="23"/>
        <v>5745</v>
      </c>
      <c r="N32" s="294">
        <f t="shared" si="23"/>
        <v>0</v>
      </c>
      <c r="O32" s="294">
        <f t="shared" si="23"/>
        <v>0</v>
      </c>
      <c r="P32" s="294">
        <f t="shared" ref="P32:Y32" si="24">SUM(P33:P36)</f>
        <v>13100</v>
      </c>
      <c r="Q32" s="294">
        <f t="shared" si="24"/>
        <v>13100</v>
      </c>
      <c r="R32" s="294">
        <f t="shared" si="24"/>
        <v>13100</v>
      </c>
      <c r="S32" s="294">
        <f t="shared" si="24"/>
        <v>13100</v>
      </c>
      <c r="T32" s="294">
        <f t="shared" si="24"/>
        <v>17800</v>
      </c>
      <c r="U32" s="294">
        <f t="shared" si="24"/>
        <v>17800</v>
      </c>
      <c r="V32" s="294">
        <f t="shared" si="24"/>
        <v>13100</v>
      </c>
      <c r="W32" s="294">
        <f t="shared" si="24"/>
        <v>13100</v>
      </c>
      <c r="X32" s="294">
        <f t="shared" si="24"/>
        <v>58000</v>
      </c>
      <c r="Y32" s="294">
        <f t="shared" si="24"/>
        <v>58000</v>
      </c>
      <c r="Z32" s="296"/>
      <c r="AA32" s="10"/>
      <c r="AB32" s="12"/>
    </row>
    <row r="33" spans="1:32" s="11" customFormat="1" ht="24">
      <c r="A33" s="303">
        <v>1</v>
      </c>
      <c r="B33" s="324" t="s">
        <v>593</v>
      </c>
      <c r="C33" s="305" t="s">
        <v>582</v>
      </c>
      <c r="D33" s="319" t="s">
        <v>583</v>
      </c>
      <c r="E33" s="306"/>
      <c r="F33" s="306" t="s">
        <v>584</v>
      </c>
      <c r="G33" s="307" t="s">
        <v>594</v>
      </c>
      <c r="H33" s="308">
        <f>+I33</f>
        <v>7800</v>
      </c>
      <c r="I33" s="310">
        <v>7800</v>
      </c>
      <c r="J33" s="309"/>
      <c r="K33" s="309"/>
      <c r="L33" s="308">
        <f>+M33</f>
        <v>5745</v>
      </c>
      <c r="M33" s="310">
        <v>5745</v>
      </c>
      <c r="N33" s="294"/>
      <c r="O33" s="294"/>
      <c r="P33" s="322">
        <f>+Q33</f>
        <v>3100</v>
      </c>
      <c r="Q33" s="315">
        <v>3100</v>
      </c>
      <c r="R33" s="313">
        <f>+S33</f>
        <v>3100</v>
      </c>
      <c r="S33" s="313">
        <v>3100</v>
      </c>
      <c r="T33" s="313">
        <f t="shared" ref="T33" si="25">+U33</f>
        <v>7800</v>
      </c>
      <c r="U33" s="313">
        <f>O33+I33</f>
        <v>7800</v>
      </c>
      <c r="V33" s="313">
        <f t="shared" ref="V33" si="26">+W33</f>
        <v>3100</v>
      </c>
      <c r="W33" s="313">
        <f>Q33+K33</f>
        <v>3100</v>
      </c>
      <c r="X33" s="313">
        <f t="shared" ref="X33" si="27">+Y33</f>
        <v>3000</v>
      </c>
      <c r="Y33" s="313">
        <v>3000</v>
      </c>
      <c r="Z33" s="323"/>
      <c r="AA33" s="10"/>
      <c r="AB33" s="12"/>
    </row>
    <row r="34" spans="1:32" s="11" customFormat="1" ht="45" customHeight="1" outlineLevel="1">
      <c r="A34" s="303">
        <v>2</v>
      </c>
      <c r="B34" s="324" t="s">
        <v>608</v>
      </c>
      <c r="C34" s="305" t="s">
        <v>582</v>
      </c>
      <c r="D34" s="319" t="s">
        <v>166</v>
      </c>
      <c r="E34" s="306"/>
      <c r="F34" s="306" t="s">
        <v>609</v>
      </c>
      <c r="G34" s="307" t="s">
        <v>610</v>
      </c>
      <c r="H34" s="320">
        <v>123000</v>
      </c>
      <c r="I34" s="331">
        <v>88000</v>
      </c>
      <c r="J34" s="310">
        <f>K34</f>
        <v>10000</v>
      </c>
      <c r="K34" s="310">
        <v>10000</v>
      </c>
      <c r="L34" s="321">
        <f>M34</f>
        <v>86083.160999999993</v>
      </c>
      <c r="M34" s="310">
        <v>86083.160999999993</v>
      </c>
      <c r="N34" s="310"/>
      <c r="O34" s="310"/>
      <c r="P34" s="314"/>
      <c r="Q34" s="314"/>
      <c r="R34" s="313"/>
      <c r="S34" s="313"/>
      <c r="T34" s="313"/>
      <c r="U34" s="313"/>
      <c r="V34" s="313"/>
      <c r="W34" s="313"/>
      <c r="X34" s="313">
        <f t="shared" ref="X34:X51" si="28">+Y34</f>
        <v>25000</v>
      </c>
      <c r="Y34" s="313">
        <v>25000</v>
      </c>
      <c r="Z34" s="296"/>
      <c r="AA34" s="10"/>
      <c r="AB34" s="13"/>
    </row>
    <row r="35" spans="1:32" ht="39.75" customHeight="1">
      <c r="A35" s="303">
        <v>3</v>
      </c>
      <c r="B35" s="329" t="s">
        <v>611</v>
      </c>
      <c r="C35" s="305" t="s">
        <v>582</v>
      </c>
      <c r="D35" s="319" t="s">
        <v>591</v>
      </c>
      <c r="E35" s="306"/>
      <c r="F35" s="306" t="s">
        <v>584</v>
      </c>
      <c r="G35" s="307" t="s">
        <v>612</v>
      </c>
      <c r="H35" s="308">
        <f>I35</f>
        <v>52000</v>
      </c>
      <c r="I35" s="308">
        <v>52000</v>
      </c>
      <c r="J35" s="309"/>
      <c r="K35" s="309"/>
      <c r="L35" s="308">
        <f>M35</f>
        <v>52000</v>
      </c>
      <c r="M35" s="310">
        <v>52000</v>
      </c>
      <c r="N35" s="294"/>
      <c r="O35" s="294"/>
      <c r="P35" s="322">
        <f>+Q35</f>
        <v>10000</v>
      </c>
      <c r="Q35" s="315">
        <v>10000</v>
      </c>
      <c r="R35" s="313">
        <f>+S35</f>
        <v>10000</v>
      </c>
      <c r="S35" s="313">
        <v>10000</v>
      </c>
      <c r="T35" s="313">
        <f t="shared" ref="T35" si="29">+U35</f>
        <v>10000</v>
      </c>
      <c r="U35" s="313">
        <v>10000</v>
      </c>
      <c r="V35" s="313">
        <f t="shared" ref="V35:V52" si="30">+W35</f>
        <v>10000</v>
      </c>
      <c r="W35" s="313">
        <v>10000</v>
      </c>
      <c r="X35" s="313">
        <f>Y35</f>
        <v>10000</v>
      </c>
      <c r="Y35" s="313">
        <v>10000</v>
      </c>
      <c r="Z35" s="296"/>
    </row>
    <row r="36" spans="1:32" ht="36">
      <c r="A36" s="303">
        <v>4</v>
      </c>
      <c r="B36" s="324" t="s">
        <v>613</v>
      </c>
      <c r="C36" s="305" t="s">
        <v>582</v>
      </c>
      <c r="D36" s="319" t="s">
        <v>614</v>
      </c>
      <c r="E36" s="306"/>
      <c r="F36" s="306" t="s">
        <v>584</v>
      </c>
      <c r="G36" s="307" t="s">
        <v>615</v>
      </c>
      <c r="H36" s="320">
        <v>318000</v>
      </c>
      <c r="I36" s="331">
        <v>76200</v>
      </c>
      <c r="J36" s="310"/>
      <c r="K36" s="310"/>
      <c r="L36" s="310">
        <f>+M36</f>
        <v>63204</v>
      </c>
      <c r="M36" s="310">
        <f>76200-12996</f>
        <v>63204</v>
      </c>
      <c r="N36" s="310"/>
      <c r="O36" s="310"/>
      <c r="P36" s="322">
        <f>+Q36</f>
        <v>0</v>
      </c>
      <c r="Q36" s="315"/>
      <c r="R36" s="313"/>
      <c r="S36" s="313"/>
      <c r="T36" s="313"/>
      <c r="U36" s="313"/>
      <c r="V36" s="313"/>
      <c r="W36" s="313"/>
      <c r="X36" s="313">
        <f t="shared" si="28"/>
        <v>20000</v>
      </c>
      <c r="Y36" s="313">
        <v>20000</v>
      </c>
      <c r="Z36" s="296"/>
      <c r="AB36" s="7"/>
    </row>
    <row r="37" spans="1:32" ht="25.5" customHeight="1">
      <c r="A37" s="289" t="s">
        <v>588</v>
      </c>
      <c r="B37" s="332" t="s">
        <v>616</v>
      </c>
      <c r="C37" s="305"/>
      <c r="D37" s="319"/>
      <c r="E37" s="306"/>
      <c r="F37" s="306"/>
      <c r="G37" s="307"/>
      <c r="H37" s="320"/>
      <c r="I37" s="331"/>
      <c r="J37" s="310"/>
      <c r="K37" s="310"/>
      <c r="L37" s="310"/>
      <c r="M37" s="331"/>
      <c r="N37" s="310"/>
      <c r="O37" s="310"/>
      <c r="P37" s="322"/>
      <c r="Q37" s="315"/>
      <c r="R37" s="313"/>
      <c r="S37" s="313"/>
      <c r="T37" s="313"/>
      <c r="U37" s="313"/>
      <c r="V37" s="313"/>
      <c r="W37" s="313"/>
      <c r="X37" s="301">
        <f>SUM(X38:X40)</f>
        <v>17400</v>
      </c>
      <c r="Y37" s="301">
        <f>SUM(Y38:Y40)</f>
        <v>17400</v>
      </c>
      <c r="Z37" s="296"/>
      <c r="AB37" s="7"/>
    </row>
    <row r="38" spans="1:32" ht="29.25" hidden="1" customHeight="1">
      <c r="A38" s="326">
        <v>1</v>
      </c>
      <c r="B38" s="327" t="s">
        <v>597</v>
      </c>
      <c r="C38" s="305" t="s">
        <v>598</v>
      </c>
      <c r="D38" s="319" t="s">
        <v>583</v>
      </c>
      <c r="E38" s="306"/>
      <c r="F38" s="306" t="s">
        <v>599</v>
      </c>
      <c r="G38" s="307"/>
      <c r="H38" s="308">
        <f>I38</f>
        <v>6200</v>
      </c>
      <c r="I38" s="310">
        <v>6200</v>
      </c>
      <c r="J38" s="309"/>
      <c r="K38" s="309"/>
      <c r="L38" s="310">
        <f>+M38</f>
        <v>3061</v>
      </c>
      <c r="M38" s="310">
        <v>3061</v>
      </c>
      <c r="N38" s="294"/>
      <c r="O38" s="294"/>
      <c r="P38" s="311"/>
      <c r="Q38" s="315"/>
      <c r="R38" s="313"/>
      <c r="S38" s="313"/>
      <c r="T38" s="313"/>
      <c r="U38" s="313"/>
      <c r="V38" s="313"/>
      <c r="W38" s="313"/>
      <c r="X38" s="328">
        <f>Y38</f>
        <v>3200</v>
      </c>
      <c r="Y38" s="328">
        <v>3200</v>
      </c>
      <c r="Z38" s="323"/>
      <c r="AB38" s="7"/>
    </row>
    <row r="39" spans="1:32" ht="30" hidden="1" customHeight="1">
      <c r="A39" s="326">
        <v>2</v>
      </c>
      <c r="B39" s="327" t="s">
        <v>617</v>
      </c>
      <c r="C39" s="305" t="s">
        <v>582</v>
      </c>
      <c r="D39" s="319" t="s">
        <v>583</v>
      </c>
      <c r="E39" s="306"/>
      <c r="F39" s="306" t="s">
        <v>599</v>
      </c>
      <c r="G39" s="307"/>
      <c r="H39" s="308">
        <v>8500</v>
      </c>
      <c r="I39" s="310">
        <v>8500</v>
      </c>
      <c r="J39" s="309"/>
      <c r="K39" s="309"/>
      <c r="L39" s="310">
        <f>+M39</f>
        <v>8500</v>
      </c>
      <c r="M39" s="310">
        <v>8500</v>
      </c>
      <c r="N39" s="294"/>
      <c r="O39" s="294"/>
      <c r="P39" s="311"/>
      <c r="Q39" s="315"/>
      <c r="R39" s="313"/>
      <c r="S39" s="313"/>
      <c r="T39" s="313"/>
      <c r="U39" s="313"/>
      <c r="V39" s="313"/>
      <c r="W39" s="313"/>
      <c r="X39" s="328">
        <f>Y39</f>
        <v>8500</v>
      </c>
      <c r="Y39" s="328">
        <v>8500</v>
      </c>
      <c r="Z39" s="323"/>
      <c r="AB39" s="7"/>
    </row>
    <row r="40" spans="1:32" ht="30" hidden="1" customHeight="1">
      <c r="A40" s="326">
        <v>3</v>
      </c>
      <c r="B40" s="395" t="s">
        <v>639</v>
      </c>
      <c r="C40" s="305"/>
      <c r="D40" s="319" t="s">
        <v>583</v>
      </c>
      <c r="E40" s="306"/>
      <c r="F40" s="306" t="s">
        <v>599</v>
      </c>
      <c r="G40" s="307"/>
      <c r="H40" s="308">
        <v>5700</v>
      </c>
      <c r="I40" s="310">
        <v>5700</v>
      </c>
      <c r="J40" s="309"/>
      <c r="K40" s="309"/>
      <c r="L40" s="310">
        <f>+M40</f>
        <v>8500</v>
      </c>
      <c r="M40" s="310">
        <v>8500</v>
      </c>
      <c r="N40" s="294"/>
      <c r="O40" s="294"/>
      <c r="P40" s="311"/>
      <c r="Q40" s="315"/>
      <c r="R40" s="313"/>
      <c r="S40" s="313"/>
      <c r="T40" s="313"/>
      <c r="U40" s="313"/>
      <c r="V40" s="313"/>
      <c r="W40" s="313"/>
      <c r="X40" s="328">
        <f>Y40</f>
        <v>5700</v>
      </c>
      <c r="Y40" s="328">
        <v>5700</v>
      </c>
      <c r="Z40" s="323"/>
      <c r="AB40" s="7"/>
    </row>
    <row r="41" spans="1:32" s="11" customFormat="1" ht="53.25" customHeight="1">
      <c r="A41" s="289" t="s">
        <v>595</v>
      </c>
      <c r="B41" s="300" t="s">
        <v>618</v>
      </c>
      <c r="C41" s="291"/>
      <c r="D41" s="291"/>
      <c r="E41" s="291"/>
      <c r="F41" s="291"/>
      <c r="G41" s="291">
        <f>SUM(G42:G51)</f>
        <v>0</v>
      </c>
      <c r="H41" s="333">
        <f>SUM(H42:H51)</f>
        <v>35200</v>
      </c>
      <c r="I41" s="333">
        <f t="shared" ref="I41:Y41" si="31">SUM(I42:I51)</f>
        <v>34360</v>
      </c>
      <c r="J41" s="333">
        <f t="shared" si="31"/>
        <v>0</v>
      </c>
      <c r="K41" s="333">
        <f t="shared" si="31"/>
        <v>0</v>
      </c>
      <c r="L41" s="333">
        <f t="shared" si="31"/>
        <v>35200</v>
      </c>
      <c r="M41" s="334">
        <f t="shared" si="31"/>
        <v>35300</v>
      </c>
      <c r="N41" s="334">
        <f t="shared" si="31"/>
        <v>0</v>
      </c>
      <c r="O41" s="334"/>
      <c r="P41" s="335">
        <f t="shared" si="31"/>
        <v>3500</v>
      </c>
      <c r="Q41" s="335">
        <f t="shared" si="31"/>
        <v>3500</v>
      </c>
      <c r="R41" s="335">
        <f t="shared" si="31"/>
        <v>3500</v>
      </c>
      <c r="S41" s="335">
        <f t="shared" si="31"/>
        <v>3500</v>
      </c>
      <c r="T41" s="301">
        <f t="shared" ref="T41:T52" si="32">+U41</f>
        <v>34360</v>
      </c>
      <c r="U41" s="301">
        <f t="shared" ref="U41:U52" si="33">O41+I41</f>
        <v>34360</v>
      </c>
      <c r="V41" s="301">
        <f t="shared" si="30"/>
        <v>3500</v>
      </c>
      <c r="W41" s="301">
        <f t="shared" ref="W41:W52" si="34">Q41+K41</f>
        <v>3500</v>
      </c>
      <c r="X41" s="334">
        <f t="shared" si="31"/>
        <v>8640</v>
      </c>
      <c r="Y41" s="334">
        <f t="shared" si="31"/>
        <v>8640</v>
      </c>
      <c r="Z41" s="299"/>
      <c r="AA41" s="10"/>
    </row>
    <row r="42" spans="1:32" ht="21.75" customHeight="1">
      <c r="A42" s="326" t="s">
        <v>310</v>
      </c>
      <c r="B42" s="327" t="s">
        <v>277</v>
      </c>
      <c r="C42" s="306" t="s">
        <v>277</v>
      </c>
      <c r="D42" s="306" t="s">
        <v>277</v>
      </c>
      <c r="E42" s="306"/>
      <c r="F42" s="306"/>
      <c r="G42" s="306"/>
      <c r="H42" s="330">
        <v>23000</v>
      </c>
      <c r="I42" s="310">
        <v>23400</v>
      </c>
      <c r="J42" s="310"/>
      <c r="K42" s="310"/>
      <c r="L42" s="310">
        <v>23000</v>
      </c>
      <c r="M42" s="310">
        <v>23000</v>
      </c>
      <c r="N42" s="310"/>
      <c r="O42" s="310"/>
      <c r="P42" s="314">
        <f t="shared" ref="P42:P52" si="35">+Q42</f>
        <v>3330</v>
      </c>
      <c r="Q42" s="315">
        <v>3330</v>
      </c>
      <c r="R42" s="313">
        <f>+S42</f>
        <v>3330</v>
      </c>
      <c r="S42" s="313">
        <f>+Q42</f>
        <v>3330</v>
      </c>
      <c r="T42" s="313">
        <f t="shared" si="32"/>
        <v>23400</v>
      </c>
      <c r="U42" s="313">
        <f t="shared" si="33"/>
        <v>23400</v>
      </c>
      <c r="V42" s="313">
        <f t="shared" si="30"/>
        <v>3330</v>
      </c>
      <c r="W42" s="313">
        <f t="shared" si="34"/>
        <v>3330</v>
      </c>
      <c r="X42" s="313">
        <f t="shared" si="28"/>
        <v>3500</v>
      </c>
      <c r="Y42" s="313">
        <v>3500</v>
      </c>
      <c r="Z42" s="296"/>
      <c r="AD42" s="9"/>
      <c r="AF42" s="9"/>
    </row>
    <row r="43" spans="1:32" ht="21.75" customHeight="1">
      <c r="A43" s="326" t="s">
        <v>311</v>
      </c>
      <c r="B43" s="327" t="s">
        <v>158</v>
      </c>
      <c r="C43" s="306" t="s">
        <v>158</v>
      </c>
      <c r="D43" s="306" t="s">
        <v>158</v>
      </c>
      <c r="E43" s="306"/>
      <c r="F43" s="306"/>
      <c r="G43" s="306"/>
      <c r="H43" s="330">
        <v>150</v>
      </c>
      <c r="I43" s="310">
        <v>50</v>
      </c>
      <c r="J43" s="310"/>
      <c r="K43" s="310"/>
      <c r="L43" s="310">
        <v>150</v>
      </c>
      <c r="M43" s="310">
        <v>150</v>
      </c>
      <c r="N43" s="310"/>
      <c r="O43" s="310"/>
      <c r="P43" s="314">
        <f t="shared" si="35"/>
        <v>20</v>
      </c>
      <c r="Q43" s="315">
        <v>20</v>
      </c>
      <c r="R43" s="313">
        <f t="shared" ref="R43:R52" si="36">+S43</f>
        <v>20</v>
      </c>
      <c r="S43" s="313">
        <f>+Q43</f>
        <v>20</v>
      </c>
      <c r="T43" s="313">
        <f t="shared" si="32"/>
        <v>50</v>
      </c>
      <c r="U43" s="313">
        <f t="shared" si="33"/>
        <v>50</v>
      </c>
      <c r="V43" s="313">
        <f t="shared" si="30"/>
        <v>20</v>
      </c>
      <c r="W43" s="313">
        <f t="shared" si="34"/>
        <v>20</v>
      </c>
      <c r="X43" s="313">
        <f t="shared" si="28"/>
        <v>10</v>
      </c>
      <c r="Y43" s="313">
        <v>10</v>
      </c>
      <c r="Z43" s="296"/>
    </row>
    <row r="44" spans="1:32" ht="21.75" customHeight="1">
      <c r="A44" s="326" t="s">
        <v>312</v>
      </c>
      <c r="B44" s="327" t="s">
        <v>161</v>
      </c>
      <c r="C44" s="306" t="s">
        <v>161</v>
      </c>
      <c r="D44" s="306" t="s">
        <v>161</v>
      </c>
      <c r="E44" s="306"/>
      <c r="F44" s="306"/>
      <c r="G44" s="306"/>
      <c r="H44" s="330">
        <v>150</v>
      </c>
      <c r="I44" s="310">
        <v>100</v>
      </c>
      <c r="J44" s="310"/>
      <c r="K44" s="310"/>
      <c r="L44" s="310">
        <v>150</v>
      </c>
      <c r="M44" s="310">
        <v>200</v>
      </c>
      <c r="N44" s="310"/>
      <c r="O44" s="310"/>
      <c r="P44" s="314">
        <f t="shared" si="35"/>
        <v>20</v>
      </c>
      <c r="Q44" s="315">
        <v>20</v>
      </c>
      <c r="R44" s="313">
        <f t="shared" si="36"/>
        <v>20</v>
      </c>
      <c r="S44" s="313">
        <f t="shared" ref="S44:S51" si="37">+Q44</f>
        <v>20</v>
      </c>
      <c r="T44" s="313">
        <f t="shared" si="32"/>
        <v>100</v>
      </c>
      <c r="U44" s="313">
        <f t="shared" si="33"/>
        <v>100</v>
      </c>
      <c r="V44" s="313">
        <f t="shared" si="30"/>
        <v>20</v>
      </c>
      <c r="W44" s="313">
        <f t="shared" si="34"/>
        <v>20</v>
      </c>
      <c r="X44" s="313">
        <f t="shared" si="28"/>
        <v>20</v>
      </c>
      <c r="Y44" s="313">
        <v>20</v>
      </c>
      <c r="Z44" s="296"/>
    </row>
    <row r="45" spans="1:32" ht="21.75" customHeight="1">
      <c r="A45" s="326" t="s">
        <v>314</v>
      </c>
      <c r="B45" s="327" t="s">
        <v>159</v>
      </c>
      <c r="C45" s="306" t="s">
        <v>159</v>
      </c>
      <c r="D45" s="306" t="s">
        <v>159</v>
      </c>
      <c r="E45" s="306"/>
      <c r="F45" s="306"/>
      <c r="G45" s="306"/>
      <c r="H45" s="330">
        <v>150</v>
      </c>
      <c r="I45" s="310">
        <v>50</v>
      </c>
      <c r="J45" s="310"/>
      <c r="K45" s="310"/>
      <c r="L45" s="310">
        <v>150</v>
      </c>
      <c r="M45" s="310">
        <v>150</v>
      </c>
      <c r="N45" s="310"/>
      <c r="O45" s="310"/>
      <c r="P45" s="314">
        <f t="shared" si="35"/>
        <v>20</v>
      </c>
      <c r="Q45" s="315">
        <v>20</v>
      </c>
      <c r="R45" s="313">
        <f t="shared" si="36"/>
        <v>20</v>
      </c>
      <c r="S45" s="313">
        <f t="shared" si="37"/>
        <v>20</v>
      </c>
      <c r="T45" s="313">
        <f t="shared" si="32"/>
        <v>50</v>
      </c>
      <c r="U45" s="313">
        <f t="shared" si="33"/>
        <v>50</v>
      </c>
      <c r="V45" s="313">
        <f t="shared" si="30"/>
        <v>20</v>
      </c>
      <c r="W45" s="313">
        <f t="shared" si="34"/>
        <v>20</v>
      </c>
      <c r="X45" s="313">
        <f t="shared" si="28"/>
        <v>10</v>
      </c>
      <c r="Y45" s="313">
        <v>10</v>
      </c>
      <c r="Z45" s="296"/>
    </row>
    <row r="46" spans="1:32" ht="21.75" customHeight="1">
      <c r="A46" s="326" t="s">
        <v>316</v>
      </c>
      <c r="B46" s="327" t="s">
        <v>160</v>
      </c>
      <c r="C46" s="306" t="s">
        <v>160</v>
      </c>
      <c r="D46" s="306" t="s">
        <v>160</v>
      </c>
      <c r="E46" s="306"/>
      <c r="F46" s="306"/>
      <c r="G46" s="306"/>
      <c r="H46" s="330">
        <v>150</v>
      </c>
      <c r="I46" s="310">
        <v>50</v>
      </c>
      <c r="J46" s="310"/>
      <c r="K46" s="310"/>
      <c r="L46" s="310">
        <v>150</v>
      </c>
      <c r="M46" s="310">
        <v>200</v>
      </c>
      <c r="N46" s="310"/>
      <c r="O46" s="310"/>
      <c r="P46" s="314">
        <f t="shared" si="35"/>
        <v>20</v>
      </c>
      <c r="Q46" s="315">
        <v>20</v>
      </c>
      <c r="R46" s="313">
        <f t="shared" si="36"/>
        <v>20</v>
      </c>
      <c r="S46" s="313">
        <f t="shared" si="37"/>
        <v>20</v>
      </c>
      <c r="T46" s="313">
        <f t="shared" si="32"/>
        <v>50</v>
      </c>
      <c r="U46" s="313">
        <f t="shared" si="33"/>
        <v>50</v>
      </c>
      <c r="V46" s="313">
        <f t="shared" si="30"/>
        <v>20</v>
      </c>
      <c r="W46" s="313">
        <f t="shared" si="34"/>
        <v>20</v>
      </c>
      <c r="X46" s="313">
        <f t="shared" si="28"/>
        <v>10</v>
      </c>
      <c r="Y46" s="313">
        <v>10</v>
      </c>
      <c r="Z46" s="296"/>
    </row>
    <row r="47" spans="1:32" ht="21.75" customHeight="1">
      <c r="A47" s="326" t="s">
        <v>317</v>
      </c>
      <c r="B47" s="327" t="s">
        <v>162</v>
      </c>
      <c r="C47" s="306" t="s">
        <v>162</v>
      </c>
      <c r="D47" s="306" t="s">
        <v>162</v>
      </c>
      <c r="E47" s="306"/>
      <c r="F47" s="306"/>
      <c r="G47" s="306"/>
      <c r="H47" s="330">
        <v>150</v>
      </c>
      <c r="I47" s="310">
        <v>85</v>
      </c>
      <c r="J47" s="310"/>
      <c r="K47" s="310"/>
      <c r="L47" s="310">
        <v>150</v>
      </c>
      <c r="M47" s="310">
        <v>150</v>
      </c>
      <c r="N47" s="310"/>
      <c r="O47" s="310"/>
      <c r="P47" s="314">
        <f t="shared" si="35"/>
        <v>10</v>
      </c>
      <c r="Q47" s="315">
        <v>10</v>
      </c>
      <c r="R47" s="313">
        <f t="shared" si="36"/>
        <v>10</v>
      </c>
      <c r="S47" s="313">
        <f t="shared" si="37"/>
        <v>10</v>
      </c>
      <c r="T47" s="313">
        <f t="shared" si="32"/>
        <v>85</v>
      </c>
      <c r="U47" s="313">
        <f t="shared" si="33"/>
        <v>85</v>
      </c>
      <c r="V47" s="313">
        <f t="shared" si="30"/>
        <v>10</v>
      </c>
      <c r="W47" s="313">
        <f t="shared" si="34"/>
        <v>10</v>
      </c>
      <c r="X47" s="313">
        <f t="shared" si="28"/>
        <v>65</v>
      </c>
      <c r="Y47" s="313">
        <v>65</v>
      </c>
      <c r="Z47" s="296"/>
    </row>
    <row r="48" spans="1:32" ht="21.75" customHeight="1">
      <c r="A48" s="326" t="s">
        <v>318</v>
      </c>
      <c r="B48" s="327" t="s">
        <v>619</v>
      </c>
      <c r="C48" s="306" t="s">
        <v>619</v>
      </c>
      <c r="D48" s="306" t="s">
        <v>619</v>
      </c>
      <c r="E48" s="306"/>
      <c r="F48" s="306"/>
      <c r="G48" s="306"/>
      <c r="H48" s="330">
        <v>150</v>
      </c>
      <c r="I48" s="310">
        <v>50</v>
      </c>
      <c r="J48" s="310"/>
      <c r="K48" s="310"/>
      <c r="L48" s="310">
        <v>150</v>
      </c>
      <c r="M48" s="310">
        <v>150</v>
      </c>
      <c r="N48" s="310"/>
      <c r="O48" s="310"/>
      <c r="P48" s="314">
        <f t="shared" si="35"/>
        <v>20</v>
      </c>
      <c r="Q48" s="315">
        <v>20</v>
      </c>
      <c r="R48" s="313">
        <f t="shared" si="36"/>
        <v>20</v>
      </c>
      <c r="S48" s="313">
        <f t="shared" si="37"/>
        <v>20</v>
      </c>
      <c r="T48" s="313">
        <f t="shared" si="32"/>
        <v>50</v>
      </c>
      <c r="U48" s="313">
        <f t="shared" si="33"/>
        <v>50</v>
      </c>
      <c r="V48" s="313">
        <f t="shared" si="30"/>
        <v>20</v>
      </c>
      <c r="W48" s="313">
        <f t="shared" si="34"/>
        <v>20</v>
      </c>
      <c r="X48" s="313">
        <f t="shared" si="28"/>
        <v>10</v>
      </c>
      <c r="Y48" s="313">
        <v>10</v>
      </c>
      <c r="Z48" s="296"/>
    </row>
    <row r="49" spans="1:29" ht="21.75" customHeight="1">
      <c r="A49" s="326" t="s">
        <v>319</v>
      </c>
      <c r="B49" s="327" t="s">
        <v>165</v>
      </c>
      <c r="C49" s="306" t="s">
        <v>165</v>
      </c>
      <c r="D49" s="306" t="s">
        <v>165</v>
      </c>
      <c r="E49" s="306"/>
      <c r="F49" s="306"/>
      <c r="G49" s="306"/>
      <c r="H49" s="330">
        <v>150</v>
      </c>
      <c r="I49" s="310">
        <v>25</v>
      </c>
      <c r="J49" s="310"/>
      <c r="K49" s="310"/>
      <c r="L49" s="310">
        <v>150</v>
      </c>
      <c r="M49" s="310">
        <v>150</v>
      </c>
      <c r="N49" s="310"/>
      <c r="O49" s="310"/>
      <c r="P49" s="314">
        <f t="shared" si="35"/>
        <v>20</v>
      </c>
      <c r="Q49" s="315">
        <v>20</v>
      </c>
      <c r="R49" s="313">
        <f t="shared" si="36"/>
        <v>20</v>
      </c>
      <c r="S49" s="313">
        <f t="shared" si="37"/>
        <v>20</v>
      </c>
      <c r="T49" s="313">
        <f t="shared" si="32"/>
        <v>25</v>
      </c>
      <c r="U49" s="313">
        <f t="shared" si="33"/>
        <v>25</v>
      </c>
      <c r="V49" s="313">
        <f t="shared" si="30"/>
        <v>20</v>
      </c>
      <c r="W49" s="313">
        <f t="shared" si="34"/>
        <v>20</v>
      </c>
      <c r="X49" s="313">
        <f t="shared" si="28"/>
        <v>5</v>
      </c>
      <c r="Y49" s="313">
        <v>5</v>
      </c>
      <c r="Z49" s="296"/>
    </row>
    <row r="50" spans="1:29" ht="21.75" customHeight="1">
      <c r="A50" s="326" t="s">
        <v>320</v>
      </c>
      <c r="B50" s="327" t="s">
        <v>166</v>
      </c>
      <c r="C50" s="306" t="s">
        <v>166</v>
      </c>
      <c r="D50" s="306" t="s">
        <v>166</v>
      </c>
      <c r="E50" s="306"/>
      <c r="F50" s="306"/>
      <c r="G50" s="306"/>
      <c r="H50" s="330">
        <v>11000</v>
      </c>
      <c r="I50" s="310">
        <v>10500</v>
      </c>
      <c r="J50" s="310"/>
      <c r="K50" s="310"/>
      <c r="L50" s="310">
        <v>11000</v>
      </c>
      <c r="M50" s="310">
        <v>11000</v>
      </c>
      <c r="N50" s="310"/>
      <c r="O50" s="310"/>
      <c r="P50" s="314">
        <f t="shared" si="35"/>
        <v>20</v>
      </c>
      <c r="Q50" s="315">
        <v>20</v>
      </c>
      <c r="R50" s="313">
        <f t="shared" si="36"/>
        <v>20</v>
      </c>
      <c r="S50" s="313">
        <f t="shared" si="37"/>
        <v>20</v>
      </c>
      <c r="T50" s="313">
        <f t="shared" si="32"/>
        <v>10500</v>
      </c>
      <c r="U50" s="313">
        <f t="shared" si="33"/>
        <v>10500</v>
      </c>
      <c r="V50" s="313">
        <f t="shared" si="30"/>
        <v>20</v>
      </c>
      <c r="W50" s="313">
        <f t="shared" si="34"/>
        <v>20</v>
      </c>
      <c r="X50" s="313">
        <f t="shared" si="28"/>
        <v>5000</v>
      </c>
      <c r="Y50" s="313">
        <v>5000</v>
      </c>
      <c r="Z50" s="296"/>
    </row>
    <row r="51" spans="1:29" ht="28.5" customHeight="1">
      <c r="A51" s="326" t="s">
        <v>321</v>
      </c>
      <c r="B51" s="327" t="s">
        <v>167</v>
      </c>
      <c r="C51" s="306" t="s">
        <v>167</v>
      </c>
      <c r="D51" s="306" t="s">
        <v>167</v>
      </c>
      <c r="E51" s="306"/>
      <c r="F51" s="306"/>
      <c r="G51" s="306"/>
      <c r="H51" s="330">
        <v>150</v>
      </c>
      <c r="I51" s="310">
        <v>50</v>
      </c>
      <c r="J51" s="310"/>
      <c r="K51" s="310"/>
      <c r="L51" s="310">
        <v>150</v>
      </c>
      <c r="M51" s="310">
        <v>150</v>
      </c>
      <c r="N51" s="310"/>
      <c r="O51" s="310"/>
      <c r="P51" s="314">
        <f t="shared" si="35"/>
        <v>20</v>
      </c>
      <c r="Q51" s="315">
        <v>20</v>
      </c>
      <c r="R51" s="313">
        <f t="shared" si="36"/>
        <v>20</v>
      </c>
      <c r="S51" s="313">
        <f t="shared" si="37"/>
        <v>20</v>
      </c>
      <c r="T51" s="313">
        <f t="shared" si="32"/>
        <v>50</v>
      </c>
      <c r="U51" s="313">
        <f t="shared" si="33"/>
        <v>50</v>
      </c>
      <c r="V51" s="313">
        <f t="shared" si="30"/>
        <v>20</v>
      </c>
      <c r="W51" s="313">
        <f t="shared" si="34"/>
        <v>20</v>
      </c>
      <c r="X51" s="313">
        <f t="shared" si="28"/>
        <v>10</v>
      </c>
      <c r="Y51" s="313">
        <v>10</v>
      </c>
      <c r="Z51" s="296"/>
    </row>
    <row r="52" spans="1:29" s="11" customFormat="1" ht="21.75" customHeight="1">
      <c r="A52" s="289" t="s">
        <v>620</v>
      </c>
      <c r="B52" s="300" t="s">
        <v>405</v>
      </c>
      <c r="C52" s="291" t="s">
        <v>621</v>
      </c>
      <c r="D52" s="291"/>
      <c r="E52" s="291"/>
      <c r="F52" s="291"/>
      <c r="G52" s="291"/>
      <c r="H52" s="333">
        <f>+I52</f>
        <v>16000</v>
      </c>
      <c r="I52" s="294">
        <v>16000</v>
      </c>
      <c r="J52" s="294"/>
      <c r="K52" s="294"/>
      <c r="L52" s="294">
        <v>5000</v>
      </c>
      <c r="M52" s="294">
        <v>5000</v>
      </c>
      <c r="N52" s="294"/>
      <c r="O52" s="294"/>
      <c r="P52" s="336">
        <f t="shared" si="35"/>
        <v>2000</v>
      </c>
      <c r="Q52" s="337">
        <v>2000</v>
      </c>
      <c r="R52" s="301">
        <f t="shared" si="36"/>
        <v>2000</v>
      </c>
      <c r="S52" s="301">
        <v>2000</v>
      </c>
      <c r="T52" s="301">
        <f t="shared" si="32"/>
        <v>16000</v>
      </c>
      <c r="U52" s="301">
        <f t="shared" si="33"/>
        <v>16000</v>
      </c>
      <c r="V52" s="301">
        <f t="shared" si="30"/>
        <v>2000</v>
      </c>
      <c r="W52" s="301">
        <f t="shared" si="34"/>
        <v>2000</v>
      </c>
      <c r="X52" s="301">
        <f>+Y52</f>
        <v>5519</v>
      </c>
      <c r="Y52" s="301">
        <v>5519</v>
      </c>
      <c r="Z52" s="299"/>
      <c r="AA52" s="10"/>
    </row>
    <row r="53" spans="1:29" ht="41.25" customHeight="1">
      <c r="A53" s="289" t="s">
        <v>32</v>
      </c>
      <c r="B53" s="290" t="s">
        <v>622</v>
      </c>
      <c r="C53" s="291"/>
      <c r="D53" s="292"/>
      <c r="E53" s="291"/>
      <c r="F53" s="291"/>
      <c r="G53" s="293"/>
      <c r="H53" s="294">
        <f>+H54</f>
        <v>0</v>
      </c>
      <c r="I53" s="294">
        <f t="shared" ref="I53:Y53" si="38">+I54</f>
        <v>0</v>
      </c>
      <c r="J53" s="294">
        <f t="shared" si="38"/>
        <v>0</v>
      </c>
      <c r="K53" s="294">
        <f t="shared" si="38"/>
        <v>0</v>
      </c>
      <c r="L53" s="294">
        <f t="shared" si="38"/>
        <v>868</v>
      </c>
      <c r="M53" s="294">
        <f t="shared" si="38"/>
        <v>868</v>
      </c>
      <c r="N53" s="294">
        <f t="shared" si="38"/>
        <v>0</v>
      </c>
      <c r="O53" s="294">
        <f t="shared" si="38"/>
        <v>0</v>
      </c>
      <c r="P53" s="295"/>
      <c r="Q53" s="295"/>
      <c r="R53" s="294"/>
      <c r="S53" s="294"/>
      <c r="T53" s="295"/>
      <c r="U53" s="295"/>
      <c r="V53" s="295"/>
      <c r="W53" s="295"/>
      <c r="X53" s="294">
        <f t="shared" si="38"/>
        <v>770</v>
      </c>
      <c r="Y53" s="294">
        <f t="shared" si="38"/>
        <v>770</v>
      </c>
      <c r="Z53" s="296"/>
    </row>
    <row r="54" spans="1:29">
      <c r="A54" s="289" t="s">
        <v>579</v>
      </c>
      <c r="B54" s="300" t="s">
        <v>616</v>
      </c>
      <c r="C54" s="291"/>
      <c r="D54" s="291"/>
      <c r="E54" s="291"/>
      <c r="F54" s="291"/>
      <c r="G54" s="298"/>
      <c r="H54" s="338"/>
      <c r="I54" s="338"/>
      <c r="J54" s="338">
        <f t="shared" ref="J54:O54" si="39">SUM(J55,J56)</f>
        <v>0</v>
      </c>
      <c r="K54" s="338">
        <f t="shared" si="39"/>
        <v>0</v>
      </c>
      <c r="L54" s="338">
        <f t="shared" si="39"/>
        <v>868</v>
      </c>
      <c r="M54" s="338">
        <f t="shared" si="39"/>
        <v>868</v>
      </c>
      <c r="N54" s="338">
        <f t="shared" si="39"/>
        <v>0</v>
      </c>
      <c r="O54" s="338">
        <f t="shared" si="39"/>
        <v>0</v>
      </c>
      <c r="P54" s="338"/>
      <c r="Q54" s="338"/>
      <c r="R54" s="338"/>
      <c r="S54" s="338"/>
      <c r="T54" s="338"/>
      <c r="U54" s="338"/>
      <c r="V54" s="338"/>
      <c r="W54" s="338"/>
      <c r="X54" s="338">
        <f>SUM(X55,X56)</f>
        <v>770</v>
      </c>
      <c r="Y54" s="338">
        <f>SUM(Y55,Y56)</f>
        <v>770</v>
      </c>
      <c r="Z54" s="299"/>
    </row>
    <row r="55" spans="1:29" ht="31.5" hidden="1" customHeight="1">
      <c r="A55" s="326" t="s">
        <v>310</v>
      </c>
      <c r="B55" s="329" t="s">
        <v>601</v>
      </c>
      <c r="C55" s="306" t="s">
        <v>582</v>
      </c>
      <c r="D55" s="306" t="s">
        <v>159</v>
      </c>
      <c r="E55" s="306"/>
      <c r="F55" s="306">
        <v>2022</v>
      </c>
      <c r="G55" s="306"/>
      <c r="H55" s="330">
        <f>+I55</f>
        <v>1000</v>
      </c>
      <c r="I55" s="310">
        <v>1000</v>
      </c>
      <c r="J55" s="310"/>
      <c r="K55" s="310"/>
      <c r="L55" s="330">
        <f>+M55</f>
        <v>248</v>
      </c>
      <c r="M55" s="310">
        <v>248</v>
      </c>
      <c r="N55" s="294"/>
      <c r="O55" s="294"/>
      <c r="P55" s="311"/>
      <c r="Q55" s="312"/>
      <c r="R55" s="301"/>
      <c r="S55" s="301"/>
      <c r="T55" s="313"/>
      <c r="U55" s="313"/>
      <c r="V55" s="313"/>
      <c r="W55" s="313"/>
      <c r="X55" s="313">
        <f>+Y55</f>
        <v>248</v>
      </c>
      <c r="Y55" s="313">
        <v>248</v>
      </c>
      <c r="Z55" s="296"/>
    </row>
    <row r="56" spans="1:29" ht="24" hidden="1">
      <c r="A56" s="326" t="s">
        <v>311</v>
      </c>
      <c r="B56" s="329" t="s">
        <v>602</v>
      </c>
      <c r="C56" s="306" t="s">
        <v>582</v>
      </c>
      <c r="D56" s="306" t="s">
        <v>167</v>
      </c>
      <c r="E56" s="306"/>
      <c r="F56" s="306" t="s">
        <v>599</v>
      </c>
      <c r="G56" s="306"/>
      <c r="H56" s="330">
        <f>+I56</f>
        <v>10000</v>
      </c>
      <c r="I56" s="310">
        <v>10000</v>
      </c>
      <c r="J56" s="310"/>
      <c r="K56" s="310"/>
      <c r="L56" s="330">
        <f>+M56</f>
        <v>620</v>
      </c>
      <c r="M56" s="310">
        <v>620</v>
      </c>
      <c r="N56" s="294"/>
      <c r="O56" s="294"/>
      <c r="P56" s="311"/>
      <c r="Q56" s="312"/>
      <c r="R56" s="301"/>
      <c r="S56" s="301"/>
      <c r="T56" s="313"/>
      <c r="U56" s="313"/>
      <c r="V56" s="313"/>
      <c r="W56" s="313"/>
      <c r="X56" s="313">
        <f>+Y56</f>
        <v>522</v>
      </c>
      <c r="Y56" s="313">
        <f>770-248</f>
        <v>522</v>
      </c>
      <c r="Z56" s="296"/>
    </row>
    <row r="57" spans="1:29" ht="23.25" customHeight="1">
      <c r="A57" s="289" t="s">
        <v>588</v>
      </c>
      <c r="B57" s="300" t="s">
        <v>623</v>
      </c>
      <c r="C57" s="291"/>
      <c r="D57" s="291"/>
      <c r="E57" s="291"/>
      <c r="F57" s="291"/>
      <c r="G57" s="298"/>
      <c r="H57" s="338"/>
      <c r="I57" s="294"/>
      <c r="J57" s="294"/>
      <c r="K57" s="294"/>
      <c r="L57" s="311"/>
      <c r="M57" s="311"/>
      <c r="N57" s="294"/>
      <c r="O57" s="294"/>
      <c r="P57" s="311"/>
      <c r="Q57" s="312"/>
      <c r="R57" s="312"/>
      <c r="S57" s="312"/>
      <c r="T57" s="313"/>
      <c r="U57" s="313"/>
      <c r="V57" s="313"/>
      <c r="W57" s="313"/>
      <c r="X57" s="313"/>
      <c r="Y57" s="312"/>
      <c r="Z57" s="299"/>
    </row>
    <row r="58" spans="1:29" ht="15" customHeight="1"/>
    <row r="59" spans="1:29" ht="29.25" customHeight="1">
      <c r="B59" s="816" t="s">
        <v>648</v>
      </c>
      <c r="C59" s="816"/>
      <c r="D59" s="816"/>
      <c r="E59" s="816"/>
      <c r="F59" s="816"/>
      <c r="G59" s="816"/>
      <c r="H59" s="816"/>
      <c r="I59" s="816"/>
      <c r="J59" s="816"/>
      <c r="K59" s="816"/>
      <c r="L59" s="816"/>
      <c r="M59" s="816"/>
      <c r="N59" s="816"/>
      <c r="O59" s="816"/>
      <c r="P59" s="816"/>
      <c r="Q59" s="816"/>
      <c r="R59" s="816"/>
      <c r="S59" s="816"/>
      <c r="T59" s="816"/>
      <c r="U59" s="816"/>
      <c r="V59" s="816"/>
      <c r="W59" s="816"/>
      <c r="X59" s="816"/>
      <c r="Y59" s="816"/>
      <c r="Z59" s="816"/>
      <c r="AA59" s="402"/>
      <c r="AB59" s="402"/>
      <c r="AC59" s="402"/>
    </row>
    <row r="60" spans="1:29" ht="45" customHeight="1">
      <c r="B60" s="816" t="s">
        <v>649</v>
      </c>
      <c r="C60" s="816"/>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402"/>
      <c r="AB60" s="402"/>
      <c r="AC60" s="402"/>
    </row>
    <row r="61" spans="1:29" ht="34.5" customHeight="1">
      <c r="B61" s="816" t="s">
        <v>650</v>
      </c>
      <c r="C61" s="816"/>
      <c r="D61" s="816"/>
      <c r="E61" s="816"/>
      <c r="F61" s="816"/>
      <c r="G61" s="816"/>
      <c r="H61" s="816"/>
      <c r="I61" s="816"/>
      <c r="J61" s="816"/>
      <c r="K61" s="816"/>
      <c r="L61" s="816"/>
      <c r="M61" s="816"/>
      <c r="N61" s="816"/>
      <c r="O61" s="816"/>
      <c r="P61" s="816"/>
      <c r="Q61" s="816"/>
      <c r="R61" s="816"/>
      <c r="S61" s="816"/>
      <c r="T61" s="816"/>
      <c r="U61" s="816"/>
      <c r="V61" s="816"/>
      <c r="W61" s="816"/>
      <c r="X61" s="816"/>
      <c r="Y61" s="816"/>
      <c r="Z61" s="816"/>
      <c r="AA61" s="402"/>
      <c r="AB61" s="402"/>
      <c r="AC61" s="402"/>
    </row>
    <row r="62" spans="1:29" ht="33.75" customHeight="1">
      <c r="B62" s="816" t="s">
        <v>651</v>
      </c>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402"/>
      <c r="AB62" s="402"/>
      <c r="AC62" s="402"/>
    </row>
  </sheetData>
  <mergeCells count="42">
    <mergeCell ref="A2:Z2"/>
    <mergeCell ref="A5:A8"/>
    <mergeCell ref="B5:B8"/>
    <mergeCell ref="C5:C8"/>
    <mergeCell ref="D5:D8"/>
    <mergeCell ref="E5:E8"/>
    <mergeCell ref="F5:F8"/>
    <mergeCell ref="G5:I5"/>
    <mergeCell ref="J5:K5"/>
    <mergeCell ref="J7:J8"/>
    <mergeCell ref="K7:K8"/>
    <mergeCell ref="Z5:Z8"/>
    <mergeCell ref="G6:G8"/>
    <mergeCell ref="H6:H8"/>
    <mergeCell ref="I6:I8"/>
    <mergeCell ref="M6:O6"/>
    <mergeCell ref="A1:B1"/>
    <mergeCell ref="Y1:Z1"/>
    <mergeCell ref="Y4:Z4"/>
    <mergeCell ref="W6:W7"/>
    <mergeCell ref="M7:M8"/>
    <mergeCell ref="N7:O7"/>
    <mergeCell ref="P7:P8"/>
    <mergeCell ref="Q7:Q8"/>
    <mergeCell ref="P6:Q6"/>
    <mergeCell ref="R6:S7"/>
    <mergeCell ref="V6:V8"/>
    <mergeCell ref="X6:X8"/>
    <mergeCell ref="L6:L8"/>
    <mergeCell ref="Y6:Y8"/>
    <mergeCell ref="L5:O5"/>
    <mergeCell ref="P5:S5"/>
    <mergeCell ref="A3:Z3"/>
    <mergeCell ref="B59:Z59"/>
    <mergeCell ref="B60:Z60"/>
    <mergeCell ref="B61:Z61"/>
    <mergeCell ref="B62:Z62"/>
    <mergeCell ref="V5:W5"/>
    <mergeCell ref="X5:Y5"/>
    <mergeCell ref="T5:U5"/>
    <mergeCell ref="T6:T8"/>
    <mergeCell ref="U6:U7"/>
  </mergeCells>
  <printOptions horizontalCentered="1"/>
  <pageMargins left="0.31496062992125984" right="0.27559055118110237" top="0.19685039370078741" bottom="0.19685039370078741" header="0.31496062992125984" footer="0.19685039370078741"/>
  <pageSetup paperSize="9" scale="70" orientation="landscape"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56"/>
  <sheetViews>
    <sheetView topLeftCell="A4" workbookViewId="0">
      <selection activeCell="H11" sqref="H11"/>
    </sheetView>
  </sheetViews>
  <sheetFormatPr defaultRowHeight="12.75"/>
  <cols>
    <col min="1" max="1" width="6" style="384" customWidth="1"/>
    <col min="2" max="2" width="32" style="384" customWidth="1"/>
    <col min="3" max="5" width="11.7109375" style="384" customWidth="1"/>
    <col min="6" max="6" width="9.140625" style="384"/>
    <col min="7" max="7" width="11.85546875" style="384" customWidth="1"/>
    <col min="8" max="16384" width="9.140625" style="384"/>
  </cols>
  <sheetData>
    <row r="1" spans="1:9" s="339" customFormat="1" ht="18.75" customHeight="1">
      <c r="A1" s="849" t="s">
        <v>170</v>
      </c>
      <c r="B1" s="849"/>
      <c r="C1" s="849"/>
      <c r="D1" s="849"/>
      <c r="F1" s="850" t="s">
        <v>151</v>
      </c>
      <c r="G1" s="850"/>
    </row>
    <row r="2" spans="1:9" s="340" customFormat="1" ht="18.75" customHeight="1">
      <c r="A2" s="851" t="s">
        <v>399</v>
      </c>
      <c r="B2" s="851"/>
      <c r="C2" s="851"/>
      <c r="D2" s="851"/>
      <c r="E2" s="851"/>
      <c r="F2" s="851"/>
      <c r="G2" s="851"/>
    </row>
    <row r="3" spans="1:9" s="340" customFormat="1" ht="18.75" customHeight="1">
      <c r="A3" s="853" t="s">
        <v>643</v>
      </c>
      <c r="B3" s="853"/>
      <c r="C3" s="853"/>
      <c r="D3" s="853"/>
      <c r="E3" s="853"/>
      <c r="F3" s="853"/>
      <c r="G3" s="853"/>
    </row>
    <row r="4" spans="1:9" s="340" customFormat="1" ht="18.75" customHeight="1">
      <c r="D4" s="341"/>
      <c r="E4" s="341"/>
      <c r="F4" s="341"/>
      <c r="G4" s="341" t="s">
        <v>38</v>
      </c>
    </row>
    <row r="5" spans="1:9" s="342" customFormat="1" ht="29.25" customHeight="1">
      <c r="A5" s="852" t="s">
        <v>10</v>
      </c>
      <c r="B5" s="852" t="s">
        <v>11</v>
      </c>
      <c r="C5" s="852" t="s">
        <v>535</v>
      </c>
      <c r="D5" s="852" t="s">
        <v>388</v>
      </c>
      <c r="E5" s="852" t="s">
        <v>419</v>
      </c>
      <c r="F5" s="848" t="s">
        <v>40</v>
      </c>
      <c r="G5" s="848"/>
      <c r="I5" s="343"/>
    </row>
    <row r="6" spans="1:9" s="347" customFormat="1" ht="40.5" customHeight="1">
      <c r="A6" s="852"/>
      <c r="B6" s="852"/>
      <c r="C6" s="852"/>
      <c r="D6" s="852"/>
      <c r="E6" s="852"/>
      <c r="F6" s="344" t="s">
        <v>341</v>
      </c>
      <c r="G6" s="345" t="s">
        <v>536</v>
      </c>
      <c r="H6" s="346"/>
    </row>
    <row r="7" spans="1:9" s="347" customFormat="1" ht="17.25" customHeight="1">
      <c r="A7" s="348" t="s">
        <v>14</v>
      </c>
      <c r="B7" s="348" t="s">
        <v>15</v>
      </c>
      <c r="C7" s="348">
        <v>1</v>
      </c>
      <c r="D7" s="348">
        <v>2</v>
      </c>
      <c r="E7" s="348">
        <v>3</v>
      </c>
      <c r="F7" s="348" t="s">
        <v>4</v>
      </c>
      <c r="G7" s="349" t="s">
        <v>5</v>
      </c>
      <c r="H7" s="346"/>
      <c r="I7" s="350"/>
    </row>
    <row r="8" spans="1:9" s="354" customFormat="1" ht="18" customHeight="1">
      <c r="A8" s="351"/>
      <c r="B8" s="352" t="s">
        <v>53</v>
      </c>
      <c r="C8" s="353">
        <f>+C9+C43+C47</f>
        <v>1462.76</v>
      </c>
      <c r="D8" s="353">
        <f t="shared" ref="D8:G8" si="0">+D9+D43+D47</f>
        <v>1647.3796000000002</v>
      </c>
      <c r="E8" s="353">
        <f t="shared" si="0"/>
        <v>1470.77</v>
      </c>
      <c r="F8" s="353">
        <f t="shared" si="0"/>
        <v>37.183837319137972</v>
      </c>
      <c r="G8" s="353">
        <f t="shared" si="0"/>
        <v>40.997892919328443</v>
      </c>
    </row>
    <row r="9" spans="1:9" s="358" customFormat="1" ht="28.5" customHeight="1">
      <c r="A9" s="355" t="s">
        <v>16</v>
      </c>
      <c r="B9" s="356" t="s">
        <v>342</v>
      </c>
      <c r="C9" s="357">
        <f>+C10+C42</f>
        <v>553</v>
      </c>
      <c r="D9" s="357">
        <f t="shared" ref="D9:G9" si="1">+D10+D42</f>
        <v>805.38660000000004</v>
      </c>
      <c r="E9" s="357">
        <f t="shared" si="1"/>
        <v>559</v>
      </c>
      <c r="F9" s="357">
        <f t="shared" si="1"/>
        <v>33.309300148467351</v>
      </c>
      <c r="G9" s="357">
        <f t="shared" si="1"/>
        <v>36.834669821463983</v>
      </c>
    </row>
    <row r="10" spans="1:9" s="358" customFormat="1" ht="28.5" customHeight="1">
      <c r="A10" s="359" t="s">
        <v>246</v>
      </c>
      <c r="B10" s="360" t="s">
        <v>343</v>
      </c>
      <c r="C10" s="361">
        <f>C11+C26</f>
        <v>493</v>
      </c>
      <c r="D10" s="361">
        <f t="shared" ref="D10:G10" si="2">D11+D26</f>
        <v>436.38660000000004</v>
      </c>
      <c r="E10" s="361">
        <f t="shared" si="2"/>
        <v>499</v>
      </c>
      <c r="F10" s="361">
        <f t="shared" si="2"/>
        <v>27.159300148467352</v>
      </c>
      <c r="G10" s="361">
        <f t="shared" si="2"/>
        <v>36.672068195447721</v>
      </c>
    </row>
    <row r="11" spans="1:9" s="358" customFormat="1" ht="24.75" customHeight="1">
      <c r="A11" s="362">
        <v>1</v>
      </c>
      <c r="B11" s="363" t="s">
        <v>344</v>
      </c>
      <c r="C11" s="361">
        <f>SUM(C12:C25)</f>
        <v>258.8</v>
      </c>
      <c r="D11" s="361">
        <f t="shared" ref="D11:G11" si="3">SUM(D12:D25)</f>
        <v>244.21120000000002</v>
      </c>
      <c r="E11" s="361">
        <f t="shared" si="3"/>
        <v>272</v>
      </c>
      <c r="F11" s="361">
        <f t="shared" si="3"/>
        <v>13.325051049233252</v>
      </c>
      <c r="G11" s="361">
        <f t="shared" si="3"/>
        <v>16.50929693816844</v>
      </c>
    </row>
    <row r="12" spans="1:9" s="368" customFormat="1" ht="24.75" customHeight="1">
      <c r="A12" s="364" t="s">
        <v>20</v>
      </c>
      <c r="B12" s="365" t="s">
        <v>537</v>
      </c>
      <c r="C12" s="366">
        <v>32</v>
      </c>
      <c r="D12" s="367">
        <v>19.163999999999998</v>
      </c>
      <c r="E12" s="367">
        <v>20</v>
      </c>
      <c r="F12" s="367">
        <f>D12/C12</f>
        <v>0.59887499999999994</v>
      </c>
      <c r="G12" s="367">
        <f>E12/D12</f>
        <v>1.0436234606553956</v>
      </c>
    </row>
    <row r="13" spans="1:9" s="339" customFormat="1" ht="24.75" customHeight="1">
      <c r="A13" s="369" t="s">
        <v>20</v>
      </c>
      <c r="B13" s="365" t="s">
        <v>538</v>
      </c>
      <c r="C13" s="366">
        <v>32</v>
      </c>
      <c r="D13" s="367">
        <v>29.143200000000004</v>
      </c>
      <c r="E13" s="367">
        <v>30</v>
      </c>
      <c r="F13" s="367">
        <f t="shared" ref="F13:G41" si="4">D13/C13</f>
        <v>0.91072500000000012</v>
      </c>
      <c r="G13" s="367">
        <f t="shared" si="4"/>
        <v>1.0293996541217161</v>
      </c>
    </row>
    <row r="14" spans="1:9" s="339" customFormat="1" ht="24.75" customHeight="1">
      <c r="A14" s="364" t="s">
        <v>20</v>
      </c>
      <c r="B14" s="365" t="s">
        <v>345</v>
      </c>
      <c r="C14" s="366">
        <v>23.6</v>
      </c>
      <c r="D14" s="367">
        <v>17.57</v>
      </c>
      <c r="E14" s="367">
        <v>20</v>
      </c>
      <c r="F14" s="367">
        <f t="shared" si="4"/>
        <v>0.74449152542372876</v>
      </c>
      <c r="G14" s="367">
        <f t="shared" si="4"/>
        <v>1.1383039271485487</v>
      </c>
    </row>
    <row r="15" spans="1:9" s="339" customFormat="1" ht="24.75" customHeight="1">
      <c r="A15" s="369" t="s">
        <v>20</v>
      </c>
      <c r="B15" s="365" t="s">
        <v>539</v>
      </c>
      <c r="C15" s="366">
        <v>10</v>
      </c>
      <c r="D15" s="367">
        <v>13.416</v>
      </c>
      <c r="E15" s="367">
        <v>15</v>
      </c>
      <c r="F15" s="367">
        <f t="shared" si="4"/>
        <v>1.3416000000000001</v>
      </c>
      <c r="G15" s="367">
        <f t="shared" si="4"/>
        <v>1.1180679785330947</v>
      </c>
    </row>
    <row r="16" spans="1:9" s="368" customFormat="1" ht="24.75" customHeight="1">
      <c r="A16" s="364" t="s">
        <v>20</v>
      </c>
      <c r="B16" s="365" t="s">
        <v>349</v>
      </c>
      <c r="C16" s="366">
        <v>14.4</v>
      </c>
      <c r="D16" s="367">
        <v>11.897200000000002</v>
      </c>
      <c r="E16" s="367">
        <v>12</v>
      </c>
      <c r="F16" s="367">
        <f t="shared" si="4"/>
        <v>0.82619444444444456</v>
      </c>
      <c r="G16" s="367">
        <f t="shared" si="4"/>
        <v>1.0086406885653767</v>
      </c>
    </row>
    <row r="17" spans="1:7" s="368" customFormat="1" ht="24.75" customHeight="1">
      <c r="A17" s="369" t="s">
        <v>20</v>
      </c>
      <c r="B17" s="365" t="s">
        <v>353</v>
      </c>
      <c r="C17" s="366">
        <v>18</v>
      </c>
      <c r="D17" s="367">
        <v>9.6700000000000017</v>
      </c>
      <c r="E17" s="367">
        <v>10</v>
      </c>
      <c r="F17" s="367">
        <f t="shared" si="4"/>
        <v>0.53722222222222227</v>
      </c>
      <c r="G17" s="367">
        <f t="shared" si="4"/>
        <v>1.0341261633919336</v>
      </c>
    </row>
    <row r="18" spans="1:7" s="368" customFormat="1" ht="24.75" customHeight="1">
      <c r="A18" s="364" t="s">
        <v>20</v>
      </c>
      <c r="B18" s="365" t="s">
        <v>355</v>
      </c>
      <c r="C18" s="366">
        <v>20</v>
      </c>
      <c r="D18" s="367">
        <v>21.96</v>
      </c>
      <c r="E18" s="367">
        <v>25</v>
      </c>
      <c r="F18" s="367">
        <f t="shared" si="4"/>
        <v>1.0980000000000001</v>
      </c>
      <c r="G18" s="367">
        <f t="shared" si="4"/>
        <v>1.1384335154826957</v>
      </c>
    </row>
    <row r="19" spans="1:7" s="368" customFormat="1" ht="24.75" customHeight="1">
      <c r="A19" s="369" t="s">
        <v>20</v>
      </c>
      <c r="B19" s="365" t="s">
        <v>348</v>
      </c>
      <c r="C19" s="366">
        <v>10</v>
      </c>
      <c r="D19" s="367">
        <v>8.7479999999999993</v>
      </c>
      <c r="E19" s="367">
        <v>10</v>
      </c>
      <c r="F19" s="367">
        <f t="shared" si="4"/>
        <v>0.87479999999999991</v>
      </c>
      <c r="G19" s="367">
        <f t="shared" si="4"/>
        <v>1.1431184270690444</v>
      </c>
    </row>
    <row r="20" spans="1:7" s="368" customFormat="1" ht="24.75" customHeight="1">
      <c r="A20" s="364" t="s">
        <v>20</v>
      </c>
      <c r="B20" s="365" t="s">
        <v>350</v>
      </c>
      <c r="C20" s="366">
        <v>20</v>
      </c>
      <c r="D20" s="367">
        <v>22.51</v>
      </c>
      <c r="E20" s="367">
        <v>25</v>
      </c>
      <c r="F20" s="367">
        <f t="shared" si="4"/>
        <v>1.1255000000000002</v>
      </c>
      <c r="G20" s="367">
        <f t="shared" si="4"/>
        <v>1.1106175033318524</v>
      </c>
    </row>
    <row r="21" spans="1:7" s="368" customFormat="1" ht="24.75" customHeight="1">
      <c r="A21" s="369" t="s">
        <v>20</v>
      </c>
      <c r="B21" s="365" t="s">
        <v>347</v>
      </c>
      <c r="C21" s="366">
        <v>8</v>
      </c>
      <c r="D21" s="367">
        <v>8.9592000000000009</v>
      </c>
      <c r="E21" s="367">
        <v>10</v>
      </c>
      <c r="F21" s="367">
        <f t="shared" si="4"/>
        <v>1.1199000000000001</v>
      </c>
      <c r="G21" s="367">
        <f t="shared" si="4"/>
        <v>1.1161710867041699</v>
      </c>
    </row>
    <row r="22" spans="1:7" s="339" customFormat="1" ht="24.75" customHeight="1">
      <c r="A22" s="364" t="s">
        <v>20</v>
      </c>
      <c r="B22" s="365" t="s">
        <v>351</v>
      </c>
      <c r="C22" s="366">
        <v>14</v>
      </c>
      <c r="D22" s="367">
        <v>14.464000000000002</v>
      </c>
      <c r="E22" s="367">
        <v>20</v>
      </c>
      <c r="F22" s="367">
        <f t="shared" si="4"/>
        <v>1.0331428571428574</v>
      </c>
      <c r="G22" s="367">
        <f t="shared" si="4"/>
        <v>1.3827433628318582</v>
      </c>
    </row>
    <row r="23" spans="1:7" s="339" customFormat="1" ht="24.75" customHeight="1">
      <c r="A23" s="369" t="s">
        <v>20</v>
      </c>
      <c r="B23" s="365" t="s">
        <v>346</v>
      </c>
      <c r="C23" s="366">
        <v>8.8000000000000007</v>
      </c>
      <c r="D23" s="367">
        <v>4.6551999999999998</v>
      </c>
      <c r="E23" s="370">
        <v>10</v>
      </c>
      <c r="F23" s="367">
        <f t="shared" si="4"/>
        <v>0.52899999999999991</v>
      </c>
      <c r="G23" s="367">
        <f t="shared" si="4"/>
        <v>2.1481354184567798</v>
      </c>
    </row>
    <row r="24" spans="1:7" s="339" customFormat="1" ht="24.75" customHeight="1">
      <c r="A24" s="364" t="s">
        <v>20</v>
      </c>
      <c r="B24" s="365" t="s">
        <v>352</v>
      </c>
      <c r="C24" s="366">
        <v>24</v>
      </c>
      <c r="D24" s="367">
        <v>33.888400000000004</v>
      </c>
      <c r="E24" s="370">
        <v>35</v>
      </c>
      <c r="F24" s="367">
        <f t="shared" si="4"/>
        <v>1.4120166666666669</v>
      </c>
      <c r="G24" s="367">
        <f t="shared" si="4"/>
        <v>1.0328017846814839</v>
      </c>
    </row>
    <row r="25" spans="1:7" s="339" customFormat="1" ht="24.75" customHeight="1">
      <c r="A25" s="369" t="s">
        <v>20</v>
      </c>
      <c r="B25" s="365" t="s">
        <v>354</v>
      </c>
      <c r="C25" s="366">
        <v>24</v>
      </c>
      <c r="D25" s="367">
        <v>28.165999999999997</v>
      </c>
      <c r="E25" s="370">
        <v>30</v>
      </c>
      <c r="F25" s="367">
        <f t="shared" si="4"/>
        <v>1.1735833333333332</v>
      </c>
      <c r="G25" s="367">
        <f t="shared" si="4"/>
        <v>1.06511396719449</v>
      </c>
    </row>
    <row r="26" spans="1:7" s="354" customFormat="1" ht="24.75" customHeight="1">
      <c r="A26" s="371">
        <v>2</v>
      </c>
      <c r="B26" s="363" t="s">
        <v>356</v>
      </c>
      <c r="C26" s="372">
        <f>SUM(C27:C41)</f>
        <v>234.2</v>
      </c>
      <c r="D26" s="372">
        <f t="shared" ref="D26:G26" si="5">SUM(D27:D41)</f>
        <v>192.17540000000002</v>
      </c>
      <c r="E26" s="372">
        <f t="shared" si="5"/>
        <v>227</v>
      </c>
      <c r="F26" s="372">
        <f t="shared" si="5"/>
        <v>13.834249099234098</v>
      </c>
      <c r="G26" s="372">
        <f t="shared" si="5"/>
        <v>20.162771257279282</v>
      </c>
    </row>
    <row r="27" spans="1:7" s="339" customFormat="1" ht="24.75" customHeight="1">
      <c r="A27" s="364" t="s">
        <v>20</v>
      </c>
      <c r="B27" s="365" t="s">
        <v>363</v>
      </c>
      <c r="C27" s="366">
        <v>12</v>
      </c>
      <c r="D27" s="367">
        <v>6.7604000000000006</v>
      </c>
      <c r="E27" s="370">
        <v>10</v>
      </c>
      <c r="F27" s="367">
        <f t="shared" si="4"/>
        <v>0.56336666666666668</v>
      </c>
      <c r="G27" s="367">
        <f t="shared" si="4"/>
        <v>1.4792024140583395</v>
      </c>
    </row>
    <row r="28" spans="1:7" s="339" customFormat="1" ht="24.75" customHeight="1">
      <c r="A28" s="364" t="s">
        <v>20</v>
      </c>
      <c r="B28" s="365" t="s">
        <v>357</v>
      </c>
      <c r="C28" s="366">
        <v>16.8</v>
      </c>
      <c r="D28" s="367">
        <v>19.985600000000002</v>
      </c>
      <c r="E28" s="370">
        <v>20</v>
      </c>
      <c r="F28" s="367">
        <f t="shared" si="4"/>
        <v>1.1896190476190476</v>
      </c>
      <c r="G28" s="367">
        <f t="shared" si="4"/>
        <v>1.0007205187735169</v>
      </c>
    </row>
    <row r="29" spans="1:7" s="339" customFormat="1" ht="24.75" customHeight="1">
      <c r="A29" s="364" t="s">
        <v>20</v>
      </c>
      <c r="B29" s="365" t="s">
        <v>540</v>
      </c>
      <c r="C29" s="366">
        <v>7</v>
      </c>
      <c r="D29" s="367">
        <v>9.1016000000000012</v>
      </c>
      <c r="E29" s="370">
        <v>10</v>
      </c>
      <c r="F29" s="367">
        <f t="shared" si="4"/>
        <v>1.3002285714285715</v>
      </c>
      <c r="G29" s="367">
        <f t="shared" si="4"/>
        <v>1.0987079194866836</v>
      </c>
    </row>
    <row r="30" spans="1:7" s="339" customFormat="1" ht="24.75" customHeight="1">
      <c r="A30" s="364" t="s">
        <v>20</v>
      </c>
      <c r="B30" s="365" t="s">
        <v>364</v>
      </c>
      <c r="C30" s="366">
        <v>22</v>
      </c>
      <c r="D30" s="367">
        <v>13.248000000000003</v>
      </c>
      <c r="E30" s="370">
        <v>15</v>
      </c>
      <c r="F30" s="367">
        <f t="shared" si="4"/>
        <v>0.60218181818181826</v>
      </c>
      <c r="G30" s="367">
        <f t="shared" si="4"/>
        <v>1.132246376811594</v>
      </c>
    </row>
    <row r="31" spans="1:7" s="339" customFormat="1" ht="24.75" customHeight="1">
      <c r="A31" s="364" t="s">
        <v>20</v>
      </c>
      <c r="B31" s="365" t="s">
        <v>541</v>
      </c>
      <c r="C31" s="366">
        <v>20</v>
      </c>
      <c r="D31" s="367">
        <v>13.952800000000003</v>
      </c>
      <c r="E31" s="370">
        <v>15</v>
      </c>
      <c r="F31" s="367">
        <f t="shared" si="4"/>
        <v>0.69764000000000015</v>
      </c>
      <c r="G31" s="367">
        <f t="shared" si="4"/>
        <v>1.0750530359497732</v>
      </c>
    </row>
    <row r="32" spans="1:7" s="339" customFormat="1" ht="24.75" customHeight="1">
      <c r="A32" s="364" t="s">
        <v>20</v>
      </c>
      <c r="B32" s="365" t="s">
        <v>362</v>
      </c>
      <c r="C32" s="366">
        <v>13</v>
      </c>
      <c r="D32" s="367">
        <v>13.42</v>
      </c>
      <c r="E32" s="370">
        <v>15</v>
      </c>
      <c r="F32" s="367">
        <f t="shared" si="4"/>
        <v>1.0323076923076924</v>
      </c>
      <c r="G32" s="367">
        <f t="shared" si="4"/>
        <v>1.1177347242921014</v>
      </c>
    </row>
    <row r="33" spans="1:7" s="339" customFormat="1" ht="24.75" customHeight="1">
      <c r="A33" s="364" t="s">
        <v>20</v>
      </c>
      <c r="B33" s="365" t="s">
        <v>360</v>
      </c>
      <c r="C33" s="366">
        <v>4.4000000000000004</v>
      </c>
      <c r="D33" s="367">
        <v>5.9328000000000003</v>
      </c>
      <c r="E33" s="370">
        <v>10</v>
      </c>
      <c r="F33" s="367">
        <f t="shared" si="4"/>
        <v>1.3483636363636364</v>
      </c>
      <c r="G33" s="367">
        <f t="shared" si="4"/>
        <v>1.6855447680690399</v>
      </c>
    </row>
    <row r="34" spans="1:7" s="339" customFormat="1" ht="24.75" customHeight="1">
      <c r="A34" s="364" t="s">
        <v>20</v>
      </c>
      <c r="B34" s="365" t="s">
        <v>361</v>
      </c>
      <c r="C34" s="366">
        <v>15</v>
      </c>
      <c r="D34" s="367">
        <v>12.2972</v>
      </c>
      <c r="E34" s="370">
        <v>15</v>
      </c>
      <c r="F34" s="367">
        <f t="shared" si="4"/>
        <v>0.81981333333333339</v>
      </c>
      <c r="G34" s="367">
        <f t="shared" si="4"/>
        <v>1.2197898708649124</v>
      </c>
    </row>
    <row r="35" spans="1:7" s="339" customFormat="1" ht="24.75" customHeight="1">
      <c r="A35" s="364" t="s">
        <v>20</v>
      </c>
      <c r="B35" s="365" t="s">
        <v>359</v>
      </c>
      <c r="C35" s="366">
        <v>8</v>
      </c>
      <c r="D35" s="367">
        <v>8.4892000000000003</v>
      </c>
      <c r="E35" s="370">
        <v>10</v>
      </c>
      <c r="F35" s="367">
        <f t="shared" si="4"/>
        <v>1.06115</v>
      </c>
      <c r="G35" s="367">
        <f t="shared" si="4"/>
        <v>1.1779672996277624</v>
      </c>
    </row>
    <row r="36" spans="1:7" s="339" customFormat="1" ht="24.75" customHeight="1">
      <c r="A36" s="364" t="s">
        <v>20</v>
      </c>
      <c r="B36" s="365" t="s">
        <v>542</v>
      </c>
      <c r="C36" s="366">
        <v>40</v>
      </c>
      <c r="D36" s="367">
        <v>33.232000000000006</v>
      </c>
      <c r="E36" s="370">
        <v>35</v>
      </c>
      <c r="F36" s="367">
        <f t="shared" si="4"/>
        <v>0.8308000000000002</v>
      </c>
      <c r="G36" s="367">
        <f t="shared" si="4"/>
        <v>1.0532017332691379</v>
      </c>
    </row>
    <row r="37" spans="1:7" s="339" customFormat="1" ht="24.75" customHeight="1">
      <c r="A37" s="364" t="s">
        <v>20</v>
      </c>
      <c r="B37" s="365" t="s">
        <v>543</v>
      </c>
      <c r="C37" s="366">
        <v>8</v>
      </c>
      <c r="D37" s="367">
        <v>11.514000000000001</v>
      </c>
      <c r="E37" s="370">
        <v>12</v>
      </c>
      <c r="F37" s="367">
        <f t="shared" si="4"/>
        <v>1.4392500000000001</v>
      </c>
      <c r="G37" s="367">
        <f t="shared" si="4"/>
        <v>1.0422094841063052</v>
      </c>
    </row>
    <row r="38" spans="1:7" s="339" customFormat="1" ht="24.75" customHeight="1">
      <c r="A38" s="364" t="s">
        <v>20</v>
      </c>
      <c r="B38" s="365" t="s">
        <v>544</v>
      </c>
      <c r="C38" s="366">
        <v>6</v>
      </c>
      <c r="D38" s="367">
        <v>6.6176000000000004</v>
      </c>
      <c r="E38" s="370">
        <v>10</v>
      </c>
      <c r="F38" s="367">
        <f t="shared" si="4"/>
        <v>1.1029333333333333</v>
      </c>
      <c r="G38" s="367">
        <f t="shared" si="4"/>
        <v>1.5111218568665377</v>
      </c>
    </row>
    <row r="39" spans="1:7" s="339" customFormat="1" ht="24.75" customHeight="1">
      <c r="A39" s="364" t="s">
        <v>20</v>
      </c>
      <c r="B39" s="365" t="s">
        <v>358</v>
      </c>
      <c r="C39" s="366">
        <v>24</v>
      </c>
      <c r="D39" s="367">
        <v>28.584</v>
      </c>
      <c r="E39" s="370">
        <v>30</v>
      </c>
      <c r="F39" s="367">
        <f t="shared" si="4"/>
        <v>1.1910000000000001</v>
      </c>
      <c r="G39" s="367">
        <f t="shared" si="4"/>
        <v>1.0495382031905962</v>
      </c>
    </row>
    <row r="40" spans="1:7" s="339" customFormat="1" ht="24.75" customHeight="1">
      <c r="A40" s="364" t="s">
        <v>20</v>
      </c>
      <c r="B40" s="365" t="s">
        <v>545</v>
      </c>
      <c r="C40" s="366">
        <v>8</v>
      </c>
      <c r="D40" s="367">
        <v>3.8646000000000003</v>
      </c>
      <c r="E40" s="370">
        <v>10</v>
      </c>
      <c r="F40" s="367">
        <f t="shared" si="4"/>
        <v>0.48307500000000003</v>
      </c>
      <c r="G40" s="367">
        <f t="shared" si="4"/>
        <v>2.5875899187496763</v>
      </c>
    </row>
    <row r="41" spans="1:7" s="339" customFormat="1" ht="24.75" customHeight="1">
      <c r="A41" s="364" t="s">
        <v>20</v>
      </c>
      <c r="B41" s="365" t="s">
        <v>546</v>
      </c>
      <c r="C41" s="366">
        <v>30</v>
      </c>
      <c r="D41" s="367">
        <v>5.1756000000000002</v>
      </c>
      <c r="E41" s="370">
        <v>10</v>
      </c>
      <c r="F41" s="367">
        <f t="shared" si="4"/>
        <v>0.17252000000000001</v>
      </c>
      <c r="G41" s="367">
        <f t="shared" si="4"/>
        <v>1.9321431331633048</v>
      </c>
    </row>
    <row r="42" spans="1:7" s="354" customFormat="1" ht="24.75" customHeight="1">
      <c r="A42" s="362">
        <v>3</v>
      </c>
      <c r="B42" s="373" t="s">
        <v>365</v>
      </c>
      <c r="C42" s="361">
        <v>60</v>
      </c>
      <c r="D42" s="361">
        <v>369</v>
      </c>
      <c r="E42" s="361">
        <v>60</v>
      </c>
      <c r="F42" s="361">
        <f>D42/C42</f>
        <v>6.15</v>
      </c>
      <c r="G42" s="361">
        <f>E42/D42</f>
        <v>0.16260162601626016</v>
      </c>
    </row>
    <row r="43" spans="1:7" s="342" customFormat="1" ht="24.75" customHeight="1">
      <c r="A43" s="374" t="s">
        <v>26</v>
      </c>
      <c r="B43" s="360" t="s">
        <v>366</v>
      </c>
      <c r="C43" s="375">
        <f>SUM(C44:C46)</f>
        <v>884.76</v>
      </c>
      <c r="D43" s="375">
        <f t="shared" ref="D43:G43" si="6">SUM(D44:D46)</f>
        <v>815.428</v>
      </c>
      <c r="E43" s="375">
        <f t="shared" si="6"/>
        <v>886.77</v>
      </c>
      <c r="F43" s="375">
        <f t="shared" si="6"/>
        <v>2.8119371706706171</v>
      </c>
      <c r="G43" s="375">
        <f t="shared" si="6"/>
        <v>3.2221352002548231</v>
      </c>
    </row>
    <row r="44" spans="1:7" s="340" customFormat="1" ht="24.75" customHeight="1">
      <c r="A44" s="376">
        <v>1</v>
      </c>
      <c r="B44" s="377" t="s">
        <v>367</v>
      </c>
      <c r="C44" s="370">
        <v>460.77</v>
      </c>
      <c r="D44" s="370">
        <f>245.984+144.944</f>
        <v>390.928</v>
      </c>
      <c r="E44" s="370">
        <v>460.77</v>
      </c>
      <c r="F44" s="370">
        <f t="shared" ref="F44:G45" si="7">+D44/C44</f>
        <v>0.84842329144692585</v>
      </c>
      <c r="G44" s="370">
        <f t="shared" si="7"/>
        <v>1.1786569393852575</v>
      </c>
    </row>
    <row r="45" spans="1:7" s="340" customFormat="1" ht="24.75" customHeight="1">
      <c r="A45" s="376">
        <v>2</v>
      </c>
      <c r="B45" s="377" t="s">
        <v>368</v>
      </c>
      <c r="C45" s="370">
        <v>387.99</v>
      </c>
      <c r="D45" s="370">
        <v>390</v>
      </c>
      <c r="E45" s="370">
        <v>390</v>
      </c>
      <c r="F45" s="370">
        <f t="shared" si="7"/>
        <v>1.005180545890358</v>
      </c>
      <c r="G45" s="370">
        <f t="shared" si="7"/>
        <v>1</v>
      </c>
    </row>
    <row r="46" spans="1:7" s="340" customFormat="1" ht="24.75" customHeight="1">
      <c r="A46" s="376">
        <v>3</v>
      </c>
      <c r="B46" s="377" t="s">
        <v>369</v>
      </c>
      <c r="C46" s="370">
        <f>3*12</f>
        <v>36</v>
      </c>
      <c r="D46" s="370">
        <f>3*12-1.5</f>
        <v>34.5</v>
      </c>
      <c r="E46" s="370">
        <f>3*12</f>
        <v>36</v>
      </c>
      <c r="F46" s="370">
        <f>+D46/C46</f>
        <v>0.95833333333333337</v>
      </c>
      <c r="G46" s="370">
        <f>+E46/D46</f>
        <v>1.0434782608695652</v>
      </c>
    </row>
    <row r="47" spans="1:7" s="379" customFormat="1" ht="24.75" customHeight="1">
      <c r="A47" s="374" t="s">
        <v>32</v>
      </c>
      <c r="B47" s="360" t="s">
        <v>227</v>
      </c>
      <c r="C47" s="378">
        <v>25</v>
      </c>
      <c r="D47" s="378">
        <v>26.565000000000001</v>
      </c>
      <c r="E47" s="378">
        <v>25</v>
      </c>
      <c r="F47" s="361">
        <f t="shared" ref="F47:G47" si="8">D47/C47</f>
        <v>1.0626</v>
      </c>
      <c r="G47" s="361">
        <f t="shared" si="8"/>
        <v>0.94108789760963674</v>
      </c>
    </row>
    <row r="48" spans="1:7" s="379" customFormat="1" ht="24.75" customHeight="1">
      <c r="A48" s="374" t="s">
        <v>64</v>
      </c>
      <c r="B48" s="360" t="s">
        <v>370</v>
      </c>
      <c r="C48" s="378"/>
      <c r="D48" s="378"/>
      <c r="E48" s="378"/>
      <c r="F48" s="361"/>
      <c r="G48" s="361"/>
    </row>
    <row r="49" spans="1:7" s="379" customFormat="1" ht="24.75" customHeight="1">
      <c r="A49" s="374" t="s">
        <v>66</v>
      </c>
      <c r="B49" s="360" t="s">
        <v>371</v>
      </c>
      <c r="C49" s="378"/>
      <c r="D49" s="378"/>
      <c r="E49" s="378"/>
      <c r="F49" s="361"/>
      <c r="G49" s="361"/>
    </row>
    <row r="50" spans="1:7" s="379" customFormat="1" ht="24.75" customHeight="1">
      <c r="A50" s="380" t="s">
        <v>68</v>
      </c>
      <c r="B50" s="381" t="s">
        <v>372</v>
      </c>
      <c r="C50" s="382"/>
      <c r="D50" s="382"/>
      <c r="E50" s="382"/>
      <c r="F50" s="383"/>
      <c r="G50" s="383"/>
    </row>
    <row r="51" spans="1:7" s="340" customFormat="1"/>
    <row r="52" spans="1:7" s="340" customFormat="1"/>
    <row r="53" spans="1:7" s="340" customFormat="1"/>
    <row r="54" spans="1:7" s="340" customFormat="1"/>
    <row r="55" spans="1:7" s="340" customFormat="1"/>
    <row r="56" spans="1:7" s="340" customFormat="1"/>
  </sheetData>
  <mergeCells count="10">
    <mergeCell ref="F5:G5"/>
    <mergeCell ref="A1:D1"/>
    <mergeCell ref="F1:G1"/>
    <mergeCell ref="A2:G2"/>
    <mergeCell ref="A5:A6"/>
    <mergeCell ref="B5:B6"/>
    <mergeCell ref="C5:C6"/>
    <mergeCell ref="D5:D6"/>
    <mergeCell ref="E5:E6"/>
    <mergeCell ref="A3:G3"/>
  </mergeCells>
  <printOptions horizontalCentered="1"/>
  <pageMargins left="0.29527559055118113" right="0.23622047244094491" top="0.29527559055118113" bottom="0.29527559055118113" header="0.31496062992125984" footer="0.31496062992125984"/>
  <pageSetup paperSize="9" orientation="portrait" verticalDpi="0" r:id="rId1"/>
  <drawing r:id="rId2"/>
  <legacyDrawing r:id="rId3"/>
  <oleObjects>
    <mc:AlternateContent xmlns:mc="http://schemas.openxmlformats.org/markup-compatibility/2006">
      <mc:Choice Requires="x14">
        <oleObject progId="Equation.DSMT4" shapeId="69633" r:id="rId4">
          <objectPr defaultSize="0" autoPict="0" r:id="rId5">
            <anchor moveWithCells="1" sizeWithCells="1">
              <from>
                <xdr:col>1</xdr:col>
                <xdr:colOff>0</xdr:colOff>
                <xdr:row>40</xdr:row>
                <xdr:rowOff>0</xdr:rowOff>
              </from>
              <to>
                <xdr:col>1</xdr:col>
                <xdr:colOff>114300</xdr:colOff>
                <xdr:row>40</xdr:row>
                <xdr:rowOff>0</xdr:rowOff>
              </to>
            </anchor>
          </objectPr>
        </oleObject>
      </mc:Choice>
      <mc:Fallback>
        <oleObject progId="Equation.DSMT4" shapeId="69633" r:id="rId4"/>
      </mc:Fallback>
    </mc:AlternateContent>
    <mc:AlternateContent xmlns:mc="http://schemas.openxmlformats.org/markup-compatibility/2006">
      <mc:Choice Requires="x14">
        <oleObject progId="Equation.DSMT4" shapeId="69634" r:id="rId6">
          <objectPr defaultSize="0" autoPict="0" r:id="rId5">
            <anchor moveWithCells="1" sizeWithCells="1">
              <from>
                <xdr:col>1</xdr:col>
                <xdr:colOff>0</xdr:colOff>
                <xdr:row>40</xdr:row>
                <xdr:rowOff>0</xdr:rowOff>
              </from>
              <to>
                <xdr:col>1</xdr:col>
                <xdr:colOff>114300</xdr:colOff>
                <xdr:row>40</xdr:row>
                <xdr:rowOff>0</xdr:rowOff>
              </to>
            </anchor>
          </objectPr>
        </oleObject>
      </mc:Choice>
      <mc:Fallback>
        <oleObject progId="Equation.DSMT4" shapeId="69634" r:id="rId6"/>
      </mc:Fallback>
    </mc:AlternateContent>
    <mc:AlternateContent xmlns:mc="http://schemas.openxmlformats.org/markup-compatibility/2006">
      <mc:Choice Requires="x14">
        <oleObject progId="Equation.DSMT4" shapeId="69636" r:id="rId7">
          <objectPr defaultSize="0" autoPict="0" r:id="rId5">
            <anchor moveWithCells="1" sizeWithCells="1">
              <from>
                <xdr:col>1</xdr:col>
                <xdr:colOff>0</xdr:colOff>
                <xdr:row>40</xdr:row>
                <xdr:rowOff>0</xdr:rowOff>
              </from>
              <to>
                <xdr:col>1</xdr:col>
                <xdr:colOff>114300</xdr:colOff>
                <xdr:row>40</xdr:row>
                <xdr:rowOff>0</xdr:rowOff>
              </to>
            </anchor>
          </objectPr>
        </oleObject>
      </mc:Choice>
      <mc:Fallback>
        <oleObject progId="Equation.DSMT4" shapeId="69636" r:id="rId7"/>
      </mc:Fallback>
    </mc:AlternateContent>
    <mc:AlternateContent xmlns:mc="http://schemas.openxmlformats.org/markup-compatibility/2006">
      <mc:Choice Requires="x14">
        <oleObject progId="Equation.DSMT4" shapeId="69637" r:id="rId8">
          <objectPr defaultSize="0" autoPict="0" r:id="rId5">
            <anchor moveWithCells="1" sizeWithCells="1">
              <from>
                <xdr:col>1</xdr:col>
                <xdr:colOff>0</xdr:colOff>
                <xdr:row>40</xdr:row>
                <xdr:rowOff>0</xdr:rowOff>
              </from>
              <to>
                <xdr:col>1</xdr:col>
                <xdr:colOff>114300</xdr:colOff>
                <xdr:row>40</xdr:row>
                <xdr:rowOff>0</xdr:rowOff>
              </to>
            </anchor>
          </objectPr>
        </oleObject>
      </mc:Choice>
      <mc:Fallback>
        <oleObject progId="Equation.DSMT4" shapeId="6963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workbookViewId="0">
      <pane xSplit="4" ySplit="8" topLeftCell="E55" activePane="bottomRight" state="frozen"/>
      <selection pane="topRight" activeCell="E1" sqref="E1"/>
      <selection pane="bottomLeft" activeCell="A9" sqref="A9"/>
      <selection pane="bottomRight" activeCell="G68" sqref="G68"/>
    </sheetView>
  </sheetViews>
  <sheetFormatPr defaultRowHeight="15"/>
  <cols>
    <col min="1" max="1" width="6" style="2" customWidth="1"/>
    <col min="2" max="2" width="37.28515625" style="2" customWidth="1"/>
    <col min="3" max="7" width="10.5703125" style="2" customWidth="1"/>
    <col min="8" max="8" width="9.7109375" style="2" customWidth="1"/>
    <col min="9" max="12" width="9.140625" style="2"/>
    <col min="13" max="13" width="12.140625" style="2" bestFit="1" customWidth="1"/>
    <col min="14" max="16384" width="9.140625" style="2"/>
  </cols>
  <sheetData>
    <row r="1" spans="1:15">
      <c r="A1" s="655" t="s">
        <v>170</v>
      </c>
      <c r="B1" s="655"/>
      <c r="C1" s="39"/>
      <c r="D1" s="39"/>
      <c r="E1" s="154"/>
      <c r="F1" s="154"/>
      <c r="G1" s="154"/>
      <c r="H1" s="655" t="s">
        <v>435</v>
      </c>
      <c r="I1" s="655"/>
      <c r="J1" s="655"/>
      <c r="K1" s="655"/>
      <c r="L1" s="655"/>
    </row>
    <row r="2" spans="1:15" ht="13.5" customHeight="1">
      <c r="A2" s="655" t="s">
        <v>436</v>
      </c>
      <c r="B2" s="655"/>
      <c r="C2" s="655"/>
      <c r="D2" s="655"/>
      <c r="E2" s="655"/>
      <c r="F2" s="655"/>
      <c r="G2" s="655"/>
      <c r="H2" s="655"/>
      <c r="I2" s="655"/>
      <c r="J2" s="655"/>
      <c r="K2" s="655"/>
      <c r="L2" s="655"/>
    </row>
    <row r="3" spans="1:15" ht="13.5" customHeight="1">
      <c r="A3" s="678" t="s">
        <v>643</v>
      </c>
      <c r="B3" s="678"/>
      <c r="C3" s="678"/>
      <c r="D3" s="678"/>
      <c r="E3" s="678"/>
      <c r="F3" s="678"/>
      <c r="G3" s="678"/>
      <c r="H3" s="678"/>
      <c r="I3" s="678"/>
      <c r="J3" s="678"/>
      <c r="K3" s="678"/>
      <c r="L3" s="678"/>
    </row>
    <row r="4" spans="1:15" ht="12" customHeight="1">
      <c r="A4" s="39"/>
      <c r="C4" s="39"/>
      <c r="D4" s="39"/>
      <c r="E4" s="670"/>
      <c r="F4" s="670"/>
      <c r="G4" s="670"/>
      <c r="H4" s="670"/>
      <c r="I4" s="154"/>
      <c r="J4" s="677" t="s">
        <v>645</v>
      </c>
      <c r="K4" s="677"/>
      <c r="L4" s="677"/>
    </row>
    <row r="5" spans="1:15">
      <c r="A5" s="658" t="s">
        <v>10</v>
      </c>
      <c r="B5" s="658" t="s">
        <v>11</v>
      </c>
      <c r="C5" s="658" t="s">
        <v>437</v>
      </c>
      <c r="D5" s="658"/>
      <c r="E5" s="671" t="s">
        <v>389</v>
      </c>
      <c r="F5" s="672"/>
      <c r="G5" s="672"/>
      <c r="H5" s="673"/>
      <c r="I5" s="674" t="s">
        <v>438</v>
      </c>
      <c r="J5" s="675"/>
      <c r="K5" s="675"/>
      <c r="L5" s="676"/>
    </row>
    <row r="6" spans="1:15" ht="20.25" customHeight="1">
      <c r="A6" s="658"/>
      <c r="B6" s="658"/>
      <c r="C6" s="665" t="s">
        <v>439</v>
      </c>
      <c r="D6" s="665" t="s">
        <v>440</v>
      </c>
      <c r="E6" s="666" t="s">
        <v>421</v>
      </c>
      <c r="F6" s="667"/>
      <c r="G6" s="666" t="s">
        <v>423</v>
      </c>
      <c r="H6" s="667"/>
      <c r="I6" s="658" t="s">
        <v>421</v>
      </c>
      <c r="J6" s="658"/>
      <c r="K6" s="658" t="s">
        <v>423</v>
      </c>
      <c r="L6" s="658"/>
    </row>
    <row r="7" spans="1:15" ht="15" hidden="1" customHeight="1">
      <c r="A7" s="658"/>
      <c r="B7" s="658"/>
      <c r="C7" s="658"/>
      <c r="D7" s="658"/>
      <c r="E7" s="668"/>
      <c r="F7" s="669"/>
      <c r="G7" s="668"/>
      <c r="H7" s="669"/>
      <c r="I7" s="658"/>
      <c r="J7" s="658"/>
      <c r="K7" s="658"/>
      <c r="L7" s="658"/>
    </row>
    <row r="8" spans="1:15" ht="45">
      <c r="A8" s="658"/>
      <c r="B8" s="658"/>
      <c r="C8" s="658"/>
      <c r="D8" s="658"/>
      <c r="E8" s="38" t="s">
        <v>441</v>
      </c>
      <c r="F8" s="38" t="s">
        <v>442</v>
      </c>
      <c r="G8" s="38" t="s">
        <v>441</v>
      </c>
      <c r="H8" s="38" t="s">
        <v>442</v>
      </c>
      <c r="I8" s="38" t="s">
        <v>443</v>
      </c>
      <c r="J8" s="38" t="s">
        <v>442</v>
      </c>
      <c r="K8" s="38" t="s">
        <v>443</v>
      </c>
      <c r="L8" s="38" t="s">
        <v>442</v>
      </c>
    </row>
    <row r="9" spans="1:15" s="61" customFormat="1" ht="17.25" customHeight="1">
      <c r="A9" s="58" t="s">
        <v>14</v>
      </c>
      <c r="B9" s="59" t="s">
        <v>15</v>
      </c>
      <c r="C9" s="58">
        <v>1</v>
      </c>
      <c r="D9" s="58">
        <v>2</v>
      </c>
      <c r="E9" s="59">
        <v>3</v>
      </c>
      <c r="F9" s="59">
        <v>4</v>
      </c>
      <c r="G9" s="59">
        <v>5</v>
      </c>
      <c r="H9" s="59">
        <v>6</v>
      </c>
      <c r="I9" s="59">
        <v>7</v>
      </c>
      <c r="J9" s="59">
        <v>8</v>
      </c>
      <c r="K9" s="59">
        <v>9</v>
      </c>
      <c r="L9" s="59">
        <v>10</v>
      </c>
      <c r="M9" s="60"/>
    </row>
    <row r="10" spans="1:15" ht="18" customHeight="1">
      <c r="A10" s="41"/>
      <c r="B10" s="155" t="s">
        <v>444</v>
      </c>
      <c r="C10" s="156">
        <f t="shared" ref="C10:H10" si="0">C11+C79+C80+C81</f>
        <v>140275.24632400001</v>
      </c>
      <c r="D10" s="156">
        <f t="shared" si="0"/>
        <v>117871.038214</v>
      </c>
      <c r="E10" s="157">
        <f t="shared" si="0"/>
        <v>117820</v>
      </c>
      <c r="F10" s="157">
        <f t="shared" si="0"/>
        <v>94965.3</v>
      </c>
      <c r="G10" s="157">
        <f t="shared" si="0"/>
        <v>216220</v>
      </c>
      <c r="H10" s="412">
        <f t="shared" si="0"/>
        <v>181287.25</v>
      </c>
      <c r="I10" s="158">
        <f>E10/C10</f>
        <v>0.83992010769930059</v>
      </c>
      <c r="J10" s="158">
        <f>F10/D10</f>
        <v>0.8056711931864583</v>
      </c>
      <c r="K10" s="158">
        <f>G10/C10</f>
        <v>1.5413981131110404</v>
      </c>
      <c r="L10" s="158">
        <f>H10/D10</f>
        <v>1.5380135166949587</v>
      </c>
      <c r="M10" s="40">
        <f>G10-H10</f>
        <v>34932.75</v>
      </c>
    </row>
    <row r="11" spans="1:15" ht="18.75" customHeight="1">
      <c r="A11" s="153" t="s">
        <v>16</v>
      </c>
      <c r="B11" s="42" t="s">
        <v>44</v>
      </c>
      <c r="C11" s="43">
        <f t="shared" ref="C11:H11" si="1">C12+C19+C25+C27+C38+C39+C40+C41+C42+C45++C52+C55+C56+C59+C62+C63++C73+C76+C77+C78</f>
        <v>140275.24632400001</v>
      </c>
      <c r="D11" s="43">
        <f t="shared" si="1"/>
        <v>117871.038214</v>
      </c>
      <c r="E11" s="44">
        <f t="shared" si="1"/>
        <v>117820</v>
      </c>
      <c r="F11" s="44">
        <f t="shared" si="1"/>
        <v>94965.3</v>
      </c>
      <c r="G11" s="44">
        <f t="shared" si="1"/>
        <v>216220</v>
      </c>
      <c r="H11" s="44">
        <f t="shared" si="1"/>
        <v>181287.25</v>
      </c>
      <c r="I11" s="45">
        <f t="shared" ref="I11:J60" si="2">E11/C11</f>
        <v>0.83992010769930059</v>
      </c>
      <c r="J11" s="45">
        <f t="shared" si="2"/>
        <v>0.8056711931864583</v>
      </c>
      <c r="K11" s="45">
        <f t="shared" ref="K11:L60" si="3">G11/C11</f>
        <v>1.5413981131110404</v>
      </c>
      <c r="L11" s="45">
        <f t="shared" si="3"/>
        <v>1.5380135166949587</v>
      </c>
    </row>
    <row r="12" spans="1:15" ht="24.75" customHeight="1">
      <c r="A12" s="153" t="s">
        <v>310</v>
      </c>
      <c r="B12" s="46" t="s">
        <v>445</v>
      </c>
      <c r="C12" s="43">
        <f>C13+C15+C16</f>
        <v>8540.0093240000006</v>
      </c>
      <c r="D12" s="43">
        <f t="shared" ref="D12:H12" si="4">D13+D15+D16</f>
        <v>852.50932399999999</v>
      </c>
      <c r="E12" s="43">
        <f t="shared" si="4"/>
        <v>8540</v>
      </c>
      <c r="F12" s="43">
        <f t="shared" si="4"/>
        <v>1293.8</v>
      </c>
      <c r="G12" s="43">
        <f t="shared" si="4"/>
        <v>8540</v>
      </c>
      <c r="H12" s="43">
        <f t="shared" si="4"/>
        <v>1293.75</v>
      </c>
      <c r="I12" s="45">
        <f t="shared" si="2"/>
        <v>0.99999890819791326</v>
      </c>
      <c r="J12" s="45">
        <f t="shared" si="2"/>
        <v>1.5176373601750777</v>
      </c>
      <c r="K12" s="45">
        <f t="shared" si="3"/>
        <v>0.99999890819791326</v>
      </c>
      <c r="L12" s="45">
        <f t="shared" si="3"/>
        <v>1.5175787097901583</v>
      </c>
    </row>
    <row r="13" spans="1:15" ht="18.75" customHeight="1">
      <c r="A13" s="153" t="s">
        <v>174</v>
      </c>
      <c r="B13" s="42" t="s">
        <v>121</v>
      </c>
      <c r="C13" s="43">
        <v>8525</v>
      </c>
      <c r="D13" s="43">
        <f>C13*0.1</f>
        <v>852.5</v>
      </c>
      <c r="E13" s="44">
        <v>8525</v>
      </c>
      <c r="F13" s="44">
        <v>1278.8</v>
      </c>
      <c r="G13" s="44">
        <v>8525</v>
      </c>
      <c r="H13" s="47">
        <v>1278.75</v>
      </c>
      <c r="I13" s="45">
        <f t="shared" si="2"/>
        <v>1</v>
      </c>
      <c r="J13" s="45">
        <f t="shared" si="2"/>
        <v>1.5000586510263929</v>
      </c>
      <c r="K13" s="45">
        <f t="shared" si="3"/>
        <v>1</v>
      </c>
      <c r="L13" s="45">
        <f t="shared" si="3"/>
        <v>1.5</v>
      </c>
      <c r="M13" s="15"/>
      <c r="O13" s="15"/>
    </row>
    <row r="14" spans="1:15" ht="18.75" hidden="1" customHeight="1">
      <c r="A14" s="153"/>
      <c r="B14" s="42" t="s">
        <v>446</v>
      </c>
      <c r="C14" s="43"/>
      <c r="D14" s="43"/>
      <c r="E14" s="44"/>
      <c r="F14" s="44"/>
      <c r="G14" s="44"/>
      <c r="H14" s="47"/>
      <c r="I14" s="45" t="e">
        <f t="shared" si="2"/>
        <v>#DIV/0!</v>
      </c>
      <c r="J14" s="45" t="e">
        <f t="shared" si="2"/>
        <v>#DIV/0!</v>
      </c>
      <c r="K14" s="45"/>
      <c r="L14" s="45" t="e">
        <f t="shared" si="3"/>
        <v>#DIV/0!</v>
      </c>
    </row>
    <row r="15" spans="1:15" ht="18.75" customHeight="1">
      <c r="A15" s="153" t="s">
        <v>176</v>
      </c>
      <c r="B15" s="42" t="s">
        <v>122</v>
      </c>
      <c r="C15" s="43"/>
      <c r="D15" s="43"/>
      <c r="E15" s="44"/>
      <c r="F15" s="44"/>
      <c r="G15" s="44"/>
      <c r="H15" s="47"/>
      <c r="I15" s="45"/>
      <c r="J15" s="45"/>
      <c r="K15" s="45"/>
      <c r="L15" s="45"/>
    </row>
    <row r="16" spans="1:15" ht="18.75" customHeight="1">
      <c r="A16" s="153" t="s">
        <v>447</v>
      </c>
      <c r="B16" s="42" t="s">
        <v>448</v>
      </c>
      <c r="C16" s="43">
        <f t="shared" ref="C16:H16" si="5">SUM(C17:C18)</f>
        <v>15.009323999999999</v>
      </c>
      <c r="D16" s="43">
        <f t="shared" si="5"/>
        <v>9.3240000000000007E-3</v>
      </c>
      <c r="E16" s="44">
        <f t="shared" si="5"/>
        <v>15</v>
      </c>
      <c r="F16" s="44">
        <f t="shared" si="5"/>
        <v>15</v>
      </c>
      <c r="G16" s="44">
        <f t="shared" si="5"/>
        <v>15</v>
      </c>
      <c r="H16" s="47">
        <f t="shared" si="5"/>
        <v>15</v>
      </c>
      <c r="I16" s="45">
        <f t="shared" si="2"/>
        <v>0.99937878614653131</v>
      </c>
      <c r="J16" s="45">
        <f>F16/D16</f>
        <v>1608.7516087516087</v>
      </c>
      <c r="K16" s="45">
        <f t="shared" si="3"/>
        <v>0.99937878614653131</v>
      </c>
      <c r="L16" s="45">
        <f t="shared" si="3"/>
        <v>1608.7516087516087</v>
      </c>
    </row>
    <row r="17" spans="1:13" ht="18.75" customHeight="1">
      <c r="A17" s="153" t="s">
        <v>195</v>
      </c>
      <c r="B17" s="42" t="s">
        <v>449</v>
      </c>
      <c r="C17" s="43">
        <v>15</v>
      </c>
      <c r="D17" s="43"/>
      <c r="E17" s="44"/>
      <c r="F17" s="44"/>
      <c r="G17" s="44"/>
      <c r="H17" s="47"/>
      <c r="I17" s="45">
        <f t="shared" si="2"/>
        <v>0</v>
      </c>
      <c r="J17" s="45"/>
      <c r="K17" s="45">
        <f t="shared" si="3"/>
        <v>0</v>
      </c>
      <c r="L17" s="45"/>
    </row>
    <row r="18" spans="1:13" ht="18.75" customHeight="1">
      <c r="A18" s="153" t="s">
        <v>195</v>
      </c>
      <c r="B18" s="42" t="s">
        <v>450</v>
      </c>
      <c r="C18" s="43">
        <v>9.3240000000000007E-3</v>
      </c>
      <c r="D18" s="43">
        <f>C18</f>
        <v>9.3240000000000007E-3</v>
      </c>
      <c r="E18" s="44">
        <v>15</v>
      </c>
      <c r="F18" s="44">
        <v>15</v>
      </c>
      <c r="G18" s="44">
        <v>15</v>
      </c>
      <c r="H18" s="47">
        <v>15</v>
      </c>
      <c r="I18" s="45">
        <f t="shared" si="2"/>
        <v>1608.7516087516087</v>
      </c>
      <c r="J18" s="45">
        <f t="shared" si="2"/>
        <v>1608.7516087516087</v>
      </c>
      <c r="K18" s="45">
        <f t="shared" si="3"/>
        <v>1608.7516087516087</v>
      </c>
      <c r="L18" s="45">
        <f t="shared" si="3"/>
        <v>1608.7516087516087</v>
      </c>
    </row>
    <row r="19" spans="1:13" ht="24.75" customHeight="1">
      <c r="A19" s="153" t="s">
        <v>311</v>
      </c>
      <c r="B19" s="46" t="s">
        <v>451</v>
      </c>
      <c r="C19" s="43">
        <f t="shared" ref="C19:H19" si="6">C20+C21+C22+C23</f>
        <v>550.09</v>
      </c>
      <c r="D19" s="43">
        <f t="shared" si="6"/>
        <v>51.222389999999997</v>
      </c>
      <c r="E19" s="43">
        <f t="shared" si="6"/>
        <v>510</v>
      </c>
      <c r="F19" s="43">
        <f t="shared" si="6"/>
        <v>69.5</v>
      </c>
      <c r="G19" s="43">
        <f t="shared" si="6"/>
        <v>510</v>
      </c>
      <c r="H19" s="43">
        <f t="shared" si="6"/>
        <v>69.5</v>
      </c>
      <c r="I19" s="45">
        <f t="shared" si="2"/>
        <v>0.92712101656092638</v>
      </c>
      <c r="J19" s="45">
        <f t="shared" si="2"/>
        <v>1.3568285275247798</v>
      </c>
      <c r="K19" s="45">
        <f t="shared" si="3"/>
        <v>0.92712101656092638</v>
      </c>
      <c r="L19" s="45">
        <f t="shared" si="3"/>
        <v>1.3568285275247798</v>
      </c>
    </row>
    <row r="20" spans="1:13" ht="18.75" customHeight="1">
      <c r="A20" s="153" t="s">
        <v>199</v>
      </c>
      <c r="B20" s="42" t="s">
        <v>121</v>
      </c>
      <c r="C20" s="43">
        <v>259.85000000000002</v>
      </c>
      <c r="D20" s="43">
        <f>C20*0.1</f>
        <v>25.985000000000003</v>
      </c>
      <c r="E20" s="44">
        <v>210</v>
      </c>
      <c r="F20" s="44">
        <v>32</v>
      </c>
      <c r="G20" s="44">
        <v>210</v>
      </c>
      <c r="H20" s="47">
        <v>32</v>
      </c>
      <c r="I20" s="45">
        <f t="shared" si="2"/>
        <v>0.80815855301135264</v>
      </c>
      <c r="J20" s="45">
        <f t="shared" si="2"/>
        <v>1.2314796998268229</v>
      </c>
      <c r="K20" s="45">
        <f t="shared" si="3"/>
        <v>0.80815855301135264</v>
      </c>
      <c r="L20" s="45">
        <f t="shared" si="3"/>
        <v>1.2314796998268229</v>
      </c>
      <c r="M20" s="15">
        <f>G20-H20</f>
        <v>178</v>
      </c>
    </row>
    <row r="21" spans="1:13" ht="18.75" customHeight="1">
      <c r="A21" s="153" t="s">
        <v>203</v>
      </c>
      <c r="B21" s="42" t="s">
        <v>122</v>
      </c>
      <c r="C21" s="43">
        <v>250</v>
      </c>
      <c r="D21" s="43">
        <f>C21*0.1</f>
        <v>25</v>
      </c>
      <c r="E21" s="44">
        <v>250</v>
      </c>
      <c r="F21" s="44">
        <v>37.5</v>
      </c>
      <c r="G21" s="44">
        <v>250</v>
      </c>
      <c r="H21" s="48">
        <v>37.5</v>
      </c>
      <c r="I21" s="45">
        <f t="shared" si="2"/>
        <v>1</v>
      </c>
      <c r="J21" s="45">
        <f t="shared" si="2"/>
        <v>1.5</v>
      </c>
      <c r="K21" s="45">
        <f>G21/C21</f>
        <v>1</v>
      </c>
      <c r="L21" s="45">
        <f t="shared" si="3"/>
        <v>1.5</v>
      </c>
    </row>
    <row r="22" spans="1:13" ht="18.75" customHeight="1">
      <c r="A22" s="153" t="s">
        <v>452</v>
      </c>
      <c r="B22" s="42" t="s">
        <v>453</v>
      </c>
      <c r="C22" s="43"/>
      <c r="D22" s="43"/>
      <c r="E22" s="44"/>
      <c r="F22" s="44"/>
      <c r="G22" s="44"/>
      <c r="H22" s="47"/>
      <c r="I22" s="45"/>
      <c r="J22" s="45"/>
      <c r="K22" s="45"/>
      <c r="L22" s="45"/>
    </row>
    <row r="23" spans="1:13" ht="18.75" customHeight="1">
      <c r="A23" s="153" t="s">
        <v>452</v>
      </c>
      <c r="B23" s="42" t="s">
        <v>448</v>
      </c>
      <c r="C23" s="43">
        <f t="shared" ref="C23:H23" si="7">SUM(C24:C24)</f>
        <v>40.24</v>
      </c>
      <c r="D23" s="43">
        <f t="shared" si="7"/>
        <v>0.23738999999999999</v>
      </c>
      <c r="E23" s="44">
        <f t="shared" si="7"/>
        <v>50</v>
      </c>
      <c r="F23" s="44">
        <f t="shared" si="7"/>
        <v>0</v>
      </c>
      <c r="G23" s="44">
        <f t="shared" si="7"/>
        <v>50</v>
      </c>
      <c r="H23" s="47">
        <f t="shared" si="7"/>
        <v>0</v>
      </c>
      <c r="I23" s="45">
        <f t="shared" si="2"/>
        <v>1.242544731610338</v>
      </c>
      <c r="J23" s="45">
        <f t="shared" si="2"/>
        <v>0</v>
      </c>
      <c r="K23" s="45">
        <f t="shared" si="3"/>
        <v>1.242544731610338</v>
      </c>
      <c r="L23" s="45">
        <f t="shared" si="3"/>
        <v>0</v>
      </c>
    </row>
    <row r="24" spans="1:13" ht="18.75" customHeight="1">
      <c r="A24" s="153" t="s">
        <v>195</v>
      </c>
      <c r="B24" s="42" t="s">
        <v>449</v>
      </c>
      <c r="C24" s="43">
        <v>40.24</v>
      </c>
      <c r="D24" s="43">
        <v>0.23738999999999999</v>
      </c>
      <c r="E24" s="44">
        <v>50</v>
      </c>
      <c r="F24" s="44">
        <v>0</v>
      </c>
      <c r="G24" s="44">
        <v>50</v>
      </c>
      <c r="H24" s="47">
        <v>0</v>
      </c>
      <c r="I24" s="45">
        <f t="shared" si="2"/>
        <v>1.242544731610338</v>
      </c>
      <c r="J24" s="45">
        <f t="shared" si="2"/>
        <v>0</v>
      </c>
      <c r="K24" s="45">
        <f t="shared" si="3"/>
        <v>1.242544731610338</v>
      </c>
      <c r="L24" s="45">
        <f t="shared" si="3"/>
        <v>0</v>
      </c>
    </row>
    <row r="25" spans="1:13" ht="30" customHeight="1">
      <c r="A25" s="153" t="s">
        <v>312</v>
      </c>
      <c r="B25" s="46" t="s">
        <v>454</v>
      </c>
      <c r="C25" s="43">
        <f t="shared" ref="C25:H25" si="8">C26</f>
        <v>77.385000000000005</v>
      </c>
      <c r="D25" s="43">
        <f t="shared" si="8"/>
        <v>69.646500000000003</v>
      </c>
      <c r="E25" s="43">
        <f t="shared" si="8"/>
        <v>0</v>
      </c>
      <c r="F25" s="43">
        <f t="shared" si="8"/>
        <v>0</v>
      </c>
      <c r="G25" s="43">
        <f t="shared" si="8"/>
        <v>0</v>
      </c>
      <c r="H25" s="43">
        <f t="shared" si="8"/>
        <v>0</v>
      </c>
      <c r="I25" s="45">
        <f t="shared" si="2"/>
        <v>0</v>
      </c>
      <c r="J25" s="45">
        <f t="shared" si="2"/>
        <v>0</v>
      </c>
      <c r="K25" s="45"/>
      <c r="L25" s="45">
        <f t="shared" si="3"/>
        <v>0</v>
      </c>
    </row>
    <row r="26" spans="1:13" ht="18.75" customHeight="1">
      <c r="A26" s="153" t="s">
        <v>212</v>
      </c>
      <c r="B26" s="42" t="s">
        <v>121</v>
      </c>
      <c r="C26" s="43">
        <v>77.385000000000005</v>
      </c>
      <c r="D26" s="43">
        <f>C26*0.9</f>
        <v>69.646500000000003</v>
      </c>
      <c r="E26" s="49"/>
      <c r="F26" s="44"/>
      <c r="G26" s="49"/>
      <c r="H26" s="47"/>
      <c r="I26" s="45">
        <f t="shared" si="2"/>
        <v>0</v>
      </c>
      <c r="J26" s="45">
        <f t="shared" si="2"/>
        <v>0</v>
      </c>
      <c r="K26" s="45"/>
      <c r="L26" s="45">
        <f t="shared" si="3"/>
        <v>0</v>
      </c>
    </row>
    <row r="27" spans="1:13" ht="27" customHeight="1">
      <c r="A27" s="153" t="s">
        <v>314</v>
      </c>
      <c r="B27" s="42" t="s">
        <v>455</v>
      </c>
      <c r="C27" s="43">
        <f t="shared" ref="C27:H27" si="9">C28+C30+C31+C32+C37</f>
        <v>84789.372000000003</v>
      </c>
      <c r="D27" s="43">
        <f t="shared" si="9"/>
        <v>76336.959999999992</v>
      </c>
      <c r="E27" s="44">
        <f t="shared" si="9"/>
        <v>81640</v>
      </c>
      <c r="F27" s="44">
        <f t="shared" si="9"/>
        <v>69502</v>
      </c>
      <c r="G27" s="44">
        <f t="shared" si="9"/>
        <v>90640</v>
      </c>
      <c r="H27" s="47">
        <f t="shared" si="9"/>
        <v>77152</v>
      </c>
      <c r="I27" s="45">
        <f t="shared" si="2"/>
        <v>0.96285652404643352</v>
      </c>
      <c r="J27" s="45">
        <f t="shared" si="2"/>
        <v>0.91046329327235465</v>
      </c>
      <c r="K27" s="45">
        <f t="shared" si="3"/>
        <v>1.0690019027384705</v>
      </c>
      <c r="L27" s="45">
        <f t="shared" si="3"/>
        <v>1.0106768726446536</v>
      </c>
    </row>
    <row r="28" spans="1:13" ht="18.75" customHeight="1">
      <c r="A28" s="153" t="s">
        <v>456</v>
      </c>
      <c r="B28" s="42" t="s">
        <v>121</v>
      </c>
      <c r="C28" s="43">
        <f>59500+24100</f>
        <v>83600</v>
      </c>
      <c r="D28" s="43">
        <f>C28*0.9</f>
        <v>75240</v>
      </c>
      <c r="E28" s="44">
        <v>80500</v>
      </c>
      <c r="F28" s="44">
        <v>68425</v>
      </c>
      <c r="G28" s="44">
        <v>89500</v>
      </c>
      <c r="H28" s="47">
        <v>76075</v>
      </c>
      <c r="I28" s="45">
        <f t="shared" si="2"/>
        <v>0.96291866028708128</v>
      </c>
      <c r="J28" s="45">
        <f t="shared" si="2"/>
        <v>0.90942317916002124</v>
      </c>
      <c r="K28" s="45">
        <f t="shared" si="3"/>
        <v>1.0705741626794258</v>
      </c>
      <c r="L28" s="45">
        <f t="shared" si="3"/>
        <v>1.0110978203083467</v>
      </c>
      <c r="M28" s="15">
        <f>G28-H28</f>
        <v>13425</v>
      </c>
    </row>
    <row r="29" spans="1:13" ht="31.5" customHeight="1">
      <c r="A29" s="153"/>
      <c r="B29" s="42" t="s">
        <v>457</v>
      </c>
      <c r="C29" s="43">
        <v>59500</v>
      </c>
      <c r="D29" s="43">
        <f>C29*0.9</f>
        <v>53550</v>
      </c>
      <c r="E29" s="44">
        <v>59000</v>
      </c>
      <c r="F29" s="44">
        <v>50150</v>
      </c>
      <c r="G29" s="44">
        <v>59000</v>
      </c>
      <c r="H29" s="47">
        <v>50150</v>
      </c>
      <c r="I29" s="45">
        <f t="shared" si="2"/>
        <v>0.99159663865546221</v>
      </c>
      <c r="J29" s="45">
        <f t="shared" si="2"/>
        <v>0.93650793650793651</v>
      </c>
      <c r="K29" s="45">
        <f t="shared" si="3"/>
        <v>0.99159663865546221</v>
      </c>
      <c r="L29" s="45">
        <f t="shared" si="3"/>
        <v>0.93650793650793651</v>
      </c>
    </row>
    <row r="30" spans="1:13" ht="18.75" customHeight="1">
      <c r="A30" s="153" t="s">
        <v>458</v>
      </c>
      <c r="B30" s="42" t="s">
        <v>459</v>
      </c>
      <c r="C30" s="43">
        <v>494.3</v>
      </c>
      <c r="D30" s="43">
        <f>C30*0.9</f>
        <v>444.87</v>
      </c>
      <c r="E30" s="44">
        <v>420</v>
      </c>
      <c r="F30" s="44">
        <v>357</v>
      </c>
      <c r="G30" s="44">
        <v>420</v>
      </c>
      <c r="H30" s="47">
        <v>357</v>
      </c>
      <c r="I30" s="45">
        <f t="shared" si="2"/>
        <v>0.84968642524782523</v>
      </c>
      <c r="J30" s="45">
        <f t="shared" si="2"/>
        <v>0.80248162384516819</v>
      </c>
      <c r="K30" s="45">
        <f t="shared" si="3"/>
        <v>0.84968642524782523</v>
      </c>
      <c r="L30" s="45">
        <f t="shared" si="3"/>
        <v>0.80248162384516819</v>
      </c>
    </row>
    <row r="31" spans="1:13" ht="18.75" customHeight="1">
      <c r="A31" s="153" t="s">
        <v>460</v>
      </c>
      <c r="B31" s="42" t="s">
        <v>461</v>
      </c>
      <c r="C31" s="43">
        <v>40</v>
      </c>
      <c r="D31" s="43">
        <v>40</v>
      </c>
      <c r="E31" s="44">
        <v>40</v>
      </c>
      <c r="F31" s="44">
        <f>E31</f>
        <v>40</v>
      </c>
      <c r="G31" s="44">
        <v>40</v>
      </c>
      <c r="H31" s="47">
        <f>G31</f>
        <v>40</v>
      </c>
      <c r="I31" s="45">
        <f t="shared" si="2"/>
        <v>1</v>
      </c>
      <c r="J31" s="45">
        <f t="shared" si="2"/>
        <v>1</v>
      </c>
      <c r="K31" s="45">
        <f t="shared" si="3"/>
        <v>1</v>
      </c>
      <c r="L31" s="45">
        <f t="shared" si="3"/>
        <v>1</v>
      </c>
    </row>
    <row r="32" spans="1:13" ht="18.75" customHeight="1">
      <c r="A32" s="153" t="s">
        <v>462</v>
      </c>
      <c r="B32" s="42" t="s">
        <v>448</v>
      </c>
      <c r="C32" s="43">
        <f t="shared" ref="C32:D32" si="10">SUM(C33:C36)</f>
        <v>655.072</v>
      </c>
      <c r="D32" s="43">
        <f t="shared" si="10"/>
        <v>612.09</v>
      </c>
      <c r="E32" s="44">
        <f>SUM(E33:E36)</f>
        <v>680</v>
      </c>
      <c r="F32" s="44">
        <f>SUM(F33:F36)</f>
        <v>680</v>
      </c>
      <c r="G32" s="44">
        <f>SUM(G33:G36)</f>
        <v>680</v>
      </c>
      <c r="H32" s="47">
        <f>SUM(H33:H36)</f>
        <v>680</v>
      </c>
      <c r="I32" s="45">
        <f t="shared" si="2"/>
        <v>1.0380538322505006</v>
      </c>
      <c r="J32" s="45">
        <f t="shared" si="2"/>
        <v>1.110947736443987</v>
      </c>
      <c r="K32" s="45">
        <f t="shared" si="3"/>
        <v>1.0380538322505006</v>
      </c>
      <c r="L32" s="45">
        <f t="shared" si="3"/>
        <v>1.110947736443987</v>
      </c>
    </row>
    <row r="33" spans="1:12" ht="18.75" hidden="1" customHeight="1">
      <c r="A33" s="153" t="s">
        <v>195</v>
      </c>
      <c r="B33" s="42" t="s">
        <v>463</v>
      </c>
      <c r="C33" s="43"/>
      <c r="D33" s="43"/>
      <c r="E33" s="44"/>
      <c r="F33" s="44"/>
      <c r="G33" s="44"/>
      <c r="H33" s="47"/>
      <c r="I33" s="45" t="e">
        <f t="shared" si="2"/>
        <v>#DIV/0!</v>
      </c>
      <c r="J33" s="45" t="e">
        <f t="shared" si="2"/>
        <v>#DIV/0!</v>
      </c>
      <c r="K33" s="45" t="e">
        <f t="shared" si="3"/>
        <v>#DIV/0!</v>
      </c>
      <c r="L33" s="45" t="e">
        <f t="shared" si="3"/>
        <v>#DIV/0!</v>
      </c>
    </row>
    <row r="34" spans="1:12" ht="18.75" customHeight="1">
      <c r="A34" s="153" t="s">
        <v>195</v>
      </c>
      <c r="B34" s="42" t="s">
        <v>450</v>
      </c>
      <c r="C34" s="43">
        <v>655.072</v>
      </c>
      <c r="D34" s="43">
        <v>612.09</v>
      </c>
      <c r="E34" s="44">
        <v>680</v>
      </c>
      <c r="F34" s="44">
        <f>E34</f>
        <v>680</v>
      </c>
      <c r="G34" s="44">
        <v>680</v>
      </c>
      <c r="H34" s="47">
        <f>G34</f>
        <v>680</v>
      </c>
      <c r="I34" s="45">
        <f t="shared" si="2"/>
        <v>1.0380538322505006</v>
      </c>
      <c r="J34" s="45">
        <f t="shared" si="2"/>
        <v>1.110947736443987</v>
      </c>
      <c r="K34" s="45">
        <f t="shared" si="3"/>
        <v>1.0380538322505006</v>
      </c>
      <c r="L34" s="45">
        <f t="shared" si="3"/>
        <v>1.110947736443987</v>
      </c>
    </row>
    <row r="35" spans="1:12" ht="18.75" hidden="1" customHeight="1">
      <c r="A35" s="153" t="s">
        <v>195</v>
      </c>
      <c r="B35" s="42" t="s">
        <v>449</v>
      </c>
      <c r="C35" s="43"/>
      <c r="D35" s="43"/>
      <c r="E35" s="44"/>
      <c r="F35" s="44"/>
      <c r="G35" s="44"/>
      <c r="H35" s="47"/>
      <c r="I35" s="45" t="e">
        <f t="shared" si="2"/>
        <v>#DIV/0!</v>
      </c>
      <c r="J35" s="45" t="e">
        <f t="shared" si="2"/>
        <v>#DIV/0!</v>
      </c>
      <c r="K35" s="45" t="e">
        <f t="shared" si="3"/>
        <v>#DIV/0!</v>
      </c>
      <c r="L35" s="45" t="e">
        <f t="shared" si="3"/>
        <v>#DIV/0!</v>
      </c>
    </row>
    <row r="36" spans="1:12" ht="18.75" hidden="1" customHeight="1">
      <c r="A36" s="153" t="s">
        <v>195</v>
      </c>
      <c r="B36" s="42" t="s">
        <v>464</v>
      </c>
      <c r="C36" s="43"/>
      <c r="D36" s="43"/>
      <c r="E36" s="44"/>
      <c r="F36" s="44"/>
      <c r="G36" s="44"/>
      <c r="H36" s="47"/>
      <c r="I36" s="45" t="e">
        <f t="shared" si="2"/>
        <v>#DIV/0!</v>
      </c>
      <c r="J36" s="45" t="e">
        <f t="shared" si="2"/>
        <v>#DIV/0!</v>
      </c>
      <c r="K36" s="45" t="e">
        <f t="shared" si="3"/>
        <v>#DIV/0!</v>
      </c>
      <c r="L36" s="45" t="e">
        <f t="shared" si="3"/>
        <v>#DIV/0!</v>
      </c>
    </row>
    <row r="37" spans="1:12" ht="18.75" hidden="1" customHeight="1">
      <c r="A37" s="153" t="s">
        <v>465</v>
      </c>
      <c r="B37" s="42" t="s">
        <v>466</v>
      </c>
      <c r="C37" s="43"/>
      <c r="D37" s="43"/>
      <c r="E37" s="44"/>
      <c r="F37" s="44"/>
      <c r="G37" s="44"/>
      <c r="H37" s="47"/>
      <c r="I37" s="45" t="e">
        <f t="shared" si="2"/>
        <v>#DIV/0!</v>
      </c>
      <c r="J37" s="45" t="e">
        <f t="shared" si="2"/>
        <v>#DIV/0!</v>
      </c>
      <c r="K37" s="45" t="e">
        <f t="shared" si="3"/>
        <v>#DIV/0!</v>
      </c>
      <c r="L37" s="45" t="e">
        <f t="shared" si="3"/>
        <v>#DIV/0!</v>
      </c>
    </row>
    <row r="38" spans="1:12" ht="17.25" customHeight="1">
      <c r="A38" s="153" t="s">
        <v>316</v>
      </c>
      <c r="B38" s="42" t="s">
        <v>467</v>
      </c>
      <c r="C38" s="43">
        <v>4500</v>
      </c>
      <c r="D38" s="43">
        <f>C38</f>
        <v>4500</v>
      </c>
      <c r="E38" s="44">
        <v>4500</v>
      </c>
      <c r="F38" s="44">
        <f>E38</f>
        <v>4500</v>
      </c>
      <c r="G38" s="44">
        <v>4500</v>
      </c>
      <c r="H38" s="47">
        <f>G38</f>
        <v>4500</v>
      </c>
      <c r="I38" s="45">
        <f t="shared" si="2"/>
        <v>1</v>
      </c>
      <c r="J38" s="45">
        <f t="shared" si="2"/>
        <v>1</v>
      </c>
      <c r="K38" s="45">
        <f t="shared" si="3"/>
        <v>1</v>
      </c>
      <c r="L38" s="45">
        <f t="shared" si="3"/>
        <v>1</v>
      </c>
    </row>
    <row r="39" spans="1:12" ht="17.25" customHeight="1">
      <c r="A39" s="153" t="s">
        <v>317</v>
      </c>
      <c r="B39" s="42" t="s">
        <v>468</v>
      </c>
      <c r="C39" s="43"/>
      <c r="D39" s="43"/>
      <c r="E39" s="44"/>
      <c r="F39" s="44"/>
      <c r="G39" s="44"/>
      <c r="H39" s="47"/>
      <c r="I39" s="45"/>
      <c r="J39" s="45"/>
      <c r="K39" s="45"/>
      <c r="L39" s="45"/>
    </row>
    <row r="40" spans="1:12" ht="17.25" customHeight="1">
      <c r="A40" s="153" t="s">
        <v>318</v>
      </c>
      <c r="B40" s="42" t="s">
        <v>469</v>
      </c>
      <c r="C40" s="43">
        <v>19.239999999999998</v>
      </c>
      <c r="D40" s="43">
        <f>C40</f>
        <v>19.239999999999998</v>
      </c>
      <c r="E40" s="44">
        <v>30</v>
      </c>
      <c r="F40" s="44">
        <v>30</v>
      </c>
      <c r="G40" s="44">
        <v>30</v>
      </c>
      <c r="H40" s="47">
        <v>30</v>
      </c>
      <c r="I40" s="45">
        <f t="shared" si="2"/>
        <v>1.5592515592515594</v>
      </c>
      <c r="J40" s="45">
        <f t="shared" si="2"/>
        <v>1.5592515592515594</v>
      </c>
      <c r="K40" s="45">
        <f t="shared" si="3"/>
        <v>1.5592515592515594</v>
      </c>
      <c r="L40" s="45">
        <f t="shared" si="3"/>
        <v>1.5592515592515594</v>
      </c>
    </row>
    <row r="41" spans="1:12" ht="17.25" customHeight="1">
      <c r="A41" s="153" t="s">
        <v>319</v>
      </c>
      <c r="B41" s="42" t="s">
        <v>470</v>
      </c>
      <c r="C41" s="43">
        <v>5500</v>
      </c>
      <c r="D41" s="43">
        <f>C41*0.9</f>
        <v>4950</v>
      </c>
      <c r="E41" s="44">
        <v>5300</v>
      </c>
      <c r="F41" s="44">
        <v>4770</v>
      </c>
      <c r="G41" s="44">
        <v>5300</v>
      </c>
      <c r="H41" s="47">
        <v>4770</v>
      </c>
      <c r="I41" s="45">
        <f t="shared" si="2"/>
        <v>0.96363636363636362</v>
      </c>
      <c r="J41" s="45">
        <f t="shared" si="2"/>
        <v>0.96363636363636362</v>
      </c>
      <c r="K41" s="45">
        <f t="shared" si="3"/>
        <v>0.96363636363636362</v>
      </c>
      <c r="L41" s="45">
        <f t="shared" si="3"/>
        <v>0.96363636363636362</v>
      </c>
    </row>
    <row r="42" spans="1:12" ht="17.25" customHeight="1">
      <c r="A42" s="153" t="s">
        <v>320</v>
      </c>
      <c r="B42" s="42" t="s">
        <v>471</v>
      </c>
      <c r="C42" s="43">
        <f>SUM(C43:C44)</f>
        <v>0</v>
      </c>
      <c r="D42" s="43">
        <f>SUM(D43:D44)</f>
        <v>0</v>
      </c>
      <c r="E42" s="44">
        <f t="shared" ref="E42:H42" si="11">SUM(E43:E44)</f>
        <v>0</v>
      </c>
      <c r="F42" s="44">
        <f t="shared" si="11"/>
        <v>0</v>
      </c>
      <c r="G42" s="44">
        <f t="shared" si="11"/>
        <v>0</v>
      </c>
      <c r="H42" s="47">
        <f t="shared" si="11"/>
        <v>0</v>
      </c>
      <c r="I42" s="45"/>
      <c r="J42" s="45"/>
      <c r="K42" s="45"/>
      <c r="L42" s="45"/>
    </row>
    <row r="43" spans="1:12" ht="17.25" hidden="1" customHeight="1">
      <c r="A43" s="153" t="s">
        <v>20</v>
      </c>
      <c r="B43" s="42" t="s">
        <v>472</v>
      </c>
      <c r="C43" s="43"/>
      <c r="D43" s="43"/>
      <c r="E43" s="44"/>
      <c r="F43" s="44"/>
      <c r="G43" s="44"/>
      <c r="H43" s="47"/>
      <c r="I43" s="45" t="e">
        <f t="shared" si="2"/>
        <v>#DIV/0!</v>
      </c>
      <c r="J43" s="45" t="e">
        <f t="shared" si="2"/>
        <v>#DIV/0!</v>
      </c>
      <c r="K43" s="45" t="e">
        <f t="shared" si="3"/>
        <v>#DIV/0!</v>
      </c>
      <c r="L43" s="45" t="e">
        <f t="shared" si="3"/>
        <v>#DIV/0!</v>
      </c>
    </row>
    <row r="44" spans="1:12" ht="17.25" hidden="1" customHeight="1">
      <c r="A44" s="153" t="s">
        <v>20</v>
      </c>
      <c r="B44" s="42" t="s">
        <v>473</v>
      </c>
      <c r="C44" s="43"/>
      <c r="D44" s="43"/>
      <c r="E44" s="44"/>
      <c r="F44" s="44"/>
      <c r="G44" s="44"/>
      <c r="H44" s="47"/>
      <c r="I44" s="45" t="e">
        <f t="shared" si="2"/>
        <v>#DIV/0!</v>
      </c>
      <c r="J44" s="45" t="e">
        <f t="shared" si="2"/>
        <v>#DIV/0!</v>
      </c>
      <c r="K44" s="45" t="e">
        <f t="shared" si="3"/>
        <v>#DIV/0!</v>
      </c>
      <c r="L44" s="45" t="e">
        <f t="shared" si="3"/>
        <v>#DIV/0!</v>
      </c>
    </row>
    <row r="45" spans="1:12" ht="17.25" customHeight="1">
      <c r="A45" s="153" t="s">
        <v>321</v>
      </c>
      <c r="B45" s="42" t="s">
        <v>474</v>
      </c>
      <c r="C45" s="43">
        <f>C46+C47</f>
        <v>1250</v>
      </c>
      <c r="D45" s="43">
        <f>D46+D47</f>
        <v>1150</v>
      </c>
      <c r="E45" s="44">
        <f t="shared" ref="E45:H45" si="12">E46+E47</f>
        <v>1350</v>
      </c>
      <c r="F45" s="44">
        <f t="shared" si="12"/>
        <v>1350</v>
      </c>
      <c r="G45" s="44">
        <f t="shared" si="12"/>
        <v>1350</v>
      </c>
      <c r="H45" s="47">
        <f t="shared" si="12"/>
        <v>1350</v>
      </c>
      <c r="I45" s="45">
        <f t="shared" si="2"/>
        <v>1.08</v>
      </c>
      <c r="J45" s="45">
        <f t="shared" si="2"/>
        <v>1.173913043478261</v>
      </c>
      <c r="K45" s="45">
        <f t="shared" si="3"/>
        <v>1.08</v>
      </c>
      <c r="L45" s="45">
        <f t="shared" si="3"/>
        <v>1.173913043478261</v>
      </c>
    </row>
    <row r="46" spans="1:12" ht="20.25" customHeight="1">
      <c r="A46" s="153" t="s">
        <v>149</v>
      </c>
      <c r="B46" s="42" t="s">
        <v>475</v>
      </c>
      <c r="C46" s="43">
        <v>106</v>
      </c>
      <c r="D46" s="43">
        <v>6</v>
      </c>
      <c r="E46" s="44"/>
      <c r="F46" s="44"/>
      <c r="G46" s="44"/>
      <c r="H46" s="47"/>
      <c r="I46" s="45">
        <f t="shared" si="2"/>
        <v>0</v>
      </c>
      <c r="J46" s="45">
        <f t="shared" si="2"/>
        <v>0</v>
      </c>
      <c r="K46" s="45">
        <f t="shared" si="3"/>
        <v>0</v>
      </c>
      <c r="L46" s="45">
        <f t="shared" si="3"/>
        <v>0</v>
      </c>
    </row>
    <row r="47" spans="1:12" ht="18.75" customHeight="1">
      <c r="A47" s="153" t="s">
        <v>150</v>
      </c>
      <c r="B47" s="42" t="s">
        <v>476</v>
      </c>
      <c r="C47" s="43">
        <f>SUM(C48:C50)</f>
        <v>1144</v>
      </c>
      <c r="D47" s="43">
        <f>SUM(D48:D50)</f>
        <v>1144</v>
      </c>
      <c r="E47" s="44">
        <f t="shared" ref="E47:H47" si="13">SUM(E48:E50)</f>
        <v>1350</v>
      </c>
      <c r="F47" s="44">
        <f t="shared" si="13"/>
        <v>1350</v>
      </c>
      <c r="G47" s="44">
        <f t="shared" si="13"/>
        <v>1350</v>
      </c>
      <c r="H47" s="47">
        <f t="shared" si="13"/>
        <v>1350</v>
      </c>
      <c r="I47" s="45">
        <f t="shared" si="2"/>
        <v>1.18006993006993</v>
      </c>
      <c r="J47" s="45">
        <f t="shared" si="2"/>
        <v>1.18006993006993</v>
      </c>
      <c r="K47" s="45">
        <f t="shared" si="3"/>
        <v>1.18006993006993</v>
      </c>
      <c r="L47" s="45">
        <f t="shared" si="3"/>
        <v>1.18006993006993</v>
      </c>
    </row>
    <row r="48" spans="1:12" ht="31.5" customHeight="1">
      <c r="A48" s="153" t="s">
        <v>20</v>
      </c>
      <c r="B48" s="42" t="s">
        <v>477</v>
      </c>
      <c r="C48" s="43">
        <v>300</v>
      </c>
      <c r="D48" s="43">
        <f>C48</f>
        <v>300</v>
      </c>
      <c r="E48" s="44">
        <v>300</v>
      </c>
      <c r="F48" s="44">
        <v>300</v>
      </c>
      <c r="G48" s="44">
        <v>300</v>
      </c>
      <c r="H48" s="47">
        <v>300</v>
      </c>
      <c r="I48" s="45">
        <f t="shared" si="2"/>
        <v>1</v>
      </c>
      <c r="J48" s="45">
        <f t="shared" si="2"/>
        <v>1</v>
      </c>
      <c r="K48" s="45">
        <f t="shared" si="3"/>
        <v>1</v>
      </c>
      <c r="L48" s="45">
        <f t="shared" si="3"/>
        <v>1</v>
      </c>
    </row>
    <row r="49" spans="1:14" ht="17.25" customHeight="1">
      <c r="A49" s="153" t="s">
        <v>20</v>
      </c>
      <c r="B49" s="42" t="s">
        <v>478</v>
      </c>
      <c r="C49" s="43">
        <f>290+50</f>
        <v>340</v>
      </c>
      <c r="D49" s="43">
        <f>C49</f>
        <v>340</v>
      </c>
      <c r="E49" s="44">
        <f>290+50</f>
        <v>340</v>
      </c>
      <c r="F49" s="44">
        <f>E49</f>
        <v>340</v>
      </c>
      <c r="G49" s="44">
        <f>290+50</f>
        <v>340</v>
      </c>
      <c r="H49" s="47">
        <f>G49</f>
        <v>340</v>
      </c>
      <c r="I49" s="45">
        <f t="shared" si="2"/>
        <v>1</v>
      </c>
      <c r="J49" s="45">
        <f t="shared" si="2"/>
        <v>1</v>
      </c>
      <c r="K49" s="45">
        <f t="shared" si="3"/>
        <v>1</v>
      </c>
      <c r="L49" s="45">
        <f t="shared" si="3"/>
        <v>1</v>
      </c>
    </row>
    <row r="50" spans="1:14" ht="17.25" customHeight="1">
      <c r="A50" s="153" t="s">
        <v>20</v>
      </c>
      <c r="B50" s="42" t="s">
        <v>479</v>
      </c>
      <c r="C50" s="43">
        <v>504</v>
      </c>
      <c r="D50" s="43">
        <f>C50</f>
        <v>504</v>
      </c>
      <c r="E50" s="44">
        <v>710</v>
      </c>
      <c r="F50" s="44">
        <f>E50</f>
        <v>710</v>
      </c>
      <c r="G50" s="44">
        <v>710</v>
      </c>
      <c r="H50" s="47">
        <f>G50</f>
        <v>710</v>
      </c>
      <c r="I50" s="45">
        <f t="shared" si="2"/>
        <v>1.4087301587301588</v>
      </c>
      <c r="J50" s="45">
        <f t="shared" si="2"/>
        <v>1.4087301587301588</v>
      </c>
      <c r="K50" s="45">
        <f t="shared" si="3"/>
        <v>1.4087301587301588</v>
      </c>
      <c r="L50" s="45">
        <f t="shared" si="3"/>
        <v>1.4087301587301588</v>
      </c>
    </row>
    <row r="51" spans="1:14" ht="29.25" hidden="1" customHeight="1">
      <c r="A51" s="153"/>
      <c r="B51" s="42" t="s">
        <v>480</v>
      </c>
      <c r="C51" s="43"/>
      <c r="D51" s="43"/>
      <c r="E51" s="44"/>
      <c r="F51" s="44"/>
      <c r="G51" s="44"/>
      <c r="H51" s="47"/>
      <c r="I51" s="45" t="e">
        <f t="shared" si="2"/>
        <v>#DIV/0!</v>
      </c>
      <c r="J51" s="45" t="e">
        <f t="shared" si="2"/>
        <v>#DIV/0!</v>
      </c>
      <c r="K51" s="45" t="e">
        <f t="shared" si="3"/>
        <v>#DIV/0!</v>
      </c>
      <c r="L51" s="45" t="e">
        <f t="shared" si="3"/>
        <v>#DIV/0!</v>
      </c>
    </row>
    <row r="52" spans="1:14" ht="17.25" customHeight="1">
      <c r="A52" s="153" t="s">
        <v>322</v>
      </c>
      <c r="B52" s="42" t="s">
        <v>481</v>
      </c>
      <c r="C52" s="43">
        <f>SUM(C53:C54)</f>
        <v>31692.38</v>
      </c>
      <c r="D52" s="43">
        <f>SUM(D53:D54)</f>
        <v>27889.279999999999</v>
      </c>
      <c r="E52" s="44">
        <f t="shared" ref="E52:H52" si="14">SUM(E53:E54)</f>
        <v>12000</v>
      </c>
      <c r="F52" s="44">
        <f t="shared" si="14"/>
        <v>10560</v>
      </c>
      <c r="G52" s="44">
        <f t="shared" si="14"/>
        <v>101400</v>
      </c>
      <c r="H52" s="44">
        <f t="shared" si="14"/>
        <v>89232</v>
      </c>
      <c r="I52" s="45">
        <f t="shared" si="2"/>
        <v>0.37863991281184939</v>
      </c>
      <c r="J52" s="45">
        <f t="shared" si="2"/>
        <v>0.3786401083140189</v>
      </c>
      <c r="K52" s="45">
        <f t="shared" si="3"/>
        <v>3.1995072632601276</v>
      </c>
      <c r="L52" s="45">
        <f t="shared" si="3"/>
        <v>3.1995089152534595</v>
      </c>
      <c r="N52" s="15"/>
    </row>
    <row r="53" spans="1:14" ht="17.25" customHeight="1">
      <c r="A53" s="153" t="s">
        <v>20</v>
      </c>
      <c r="B53" s="42" t="s">
        <v>482</v>
      </c>
      <c r="C53" s="43"/>
      <c r="D53" s="43"/>
      <c r="E53" s="44"/>
      <c r="F53" s="44"/>
      <c r="G53" s="44"/>
      <c r="H53" s="44"/>
      <c r="I53" s="45"/>
      <c r="J53" s="45"/>
      <c r="K53" s="45"/>
      <c r="L53" s="45"/>
    </row>
    <row r="54" spans="1:14" ht="17.25" customHeight="1">
      <c r="A54" s="153" t="s">
        <v>20</v>
      </c>
      <c r="B54" s="42" t="s">
        <v>483</v>
      </c>
      <c r="C54" s="43">
        <v>31692.38</v>
      </c>
      <c r="D54" s="43">
        <v>27889.279999999999</v>
      </c>
      <c r="E54" s="44">
        <v>12000</v>
      </c>
      <c r="F54" s="44">
        <v>10560</v>
      </c>
      <c r="G54" s="44">
        <v>101400</v>
      </c>
      <c r="H54" s="44">
        <v>89232</v>
      </c>
      <c r="I54" s="45">
        <f t="shared" si="2"/>
        <v>0.37863991281184939</v>
      </c>
      <c r="J54" s="45">
        <f t="shared" si="2"/>
        <v>0.3786401083140189</v>
      </c>
      <c r="K54" s="45">
        <f t="shared" si="3"/>
        <v>3.1995072632601276</v>
      </c>
      <c r="L54" s="45">
        <f t="shared" si="3"/>
        <v>3.1995089152534595</v>
      </c>
      <c r="M54" s="407">
        <f>G52-E52</f>
        <v>89400</v>
      </c>
    </row>
    <row r="55" spans="1:14" ht="22.5" customHeight="1">
      <c r="A55" s="153" t="s">
        <v>325</v>
      </c>
      <c r="B55" s="46" t="s">
        <v>484</v>
      </c>
      <c r="C55" s="43">
        <v>1760</v>
      </c>
      <c r="D55" s="43">
        <f>C55*0.8</f>
        <v>1408</v>
      </c>
      <c r="E55" s="44">
        <v>2350</v>
      </c>
      <c r="F55" s="44">
        <v>1880</v>
      </c>
      <c r="G55" s="44">
        <v>2350</v>
      </c>
      <c r="H55" s="44">
        <v>1880</v>
      </c>
      <c r="I55" s="45">
        <f t="shared" si="2"/>
        <v>1.3352272727272727</v>
      </c>
      <c r="J55" s="45">
        <f t="shared" si="2"/>
        <v>1.3352272727272727</v>
      </c>
      <c r="K55" s="45">
        <f t="shared" si="3"/>
        <v>1.3352272727272727</v>
      </c>
      <c r="L55" s="45">
        <f t="shared" si="3"/>
        <v>1.3352272727272727</v>
      </c>
      <c r="M55" s="15"/>
    </row>
    <row r="56" spans="1:14" ht="24.75" hidden="1" customHeight="1">
      <c r="A56" s="153" t="s">
        <v>326</v>
      </c>
      <c r="B56" s="42" t="s">
        <v>485</v>
      </c>
      <c r="C56" s="43">
        <f>SUM(C57:C58)</f>
        <v>0</v>
      </c>
      <c r="D56" s="43">
        <f>SUM(D57:D58)</f>
        <v>0</v>
      </c>
      <c r="E56" s="44">
        <f t="shared" ref="E56:H56" si="15">SUM(E57:E58)</f>
        <v>0</v>
      </c>
      <c r="F56" s="44">
        <f t="shared" si="15"/>
        <v>0</v>
      </c>
      <c r="G56" s="44">
        <f t="shared" si="15"/>
        <v>0</v>
      </c>
      <c r="H56" s="44">
        <f t="shared" si="15"/>
        <v>0</v>
      </c>
      <c r="I56" s="45" t="e">
        <f t="shared" si="2"/>
        <v>#DIV/0!</v>
      </c>
      <c r="J56" s="45" t="e">
        <f t="shared" si="2"/>
        <v>#DIV/0!</v>
      </c>
      <c r="K56" s="45" t="e">
        <f t="shared" si="3"/>
        <v>#DIV/0!</v>
      </c>
      <c r="L56" s="45" t="e">
        <f t="shared" si="3"/>
        <v>#DIV/0!</v>
      </c>
    </row>
    <row r="57" spans="1:14" ht="12.75" hidden="1" customHeight="1">
      <c r="A57" s="153"/>
      <c r="B57" s="42" t="s">
        <v>486</v>
      </c>
      <c r="C57" s="43"/>
      <c r="D57" s="43"/>
      <c r="E57" s="44"/>
      <c r="F57" s="44"/>
      <c r="G57" s="44"/>
      <c r="H57" s="44"/>
      <c r="I57" s="45" t="e">
        <f t="shared" si="2"/>
        <v>#DIV/0!</v>
      </c>
      <c r="J57" s="45" t="e">
        <f t="shared" si="2"/>
        <v>#DIV/0!</v>
      </c>
      <c r="K57" s="45" t="e">
        <f t="shared" si="3"/>
        <v>#DIV/0!</v>
      </c>
      <c r="L57" s="45" t="e">
        <f t="shared" si="3"/>
        <v>#DIV/0!</v>
      </c>
    </row>
    <row r="58" spans="1:14" ht="11.25" hidden="1" customHeight="1">
      <c r="A58" s="153"/>
      <c r="B58" s="42" t="s">
        <v>487</v>
      </c>
      <c r="C58" s="43"/>
      <c r="D58" s="43"/>
      <c r="E58" s="44"/>
      <c r="F58" s="44"/>
      <c r="G58" s="44"/>
      <c r="H58" s="44"/>
      <c r="I58" s="45" t="e">
        <f t="shared" si="2"/>
        <v>#DIV/0!</v>
      </c>
      <c r="J58" s="45" t="e">
        <f t="shared" si="2"/>
        <v>#DIV/0!</v>
      </c>
      <c r="K58" s="45" t="e">
        <f t="shared" si="3"/>
        <v>#DIV/0!</v>
      </c>
      <c r="L58" s="45" t="e">
        <f t="shared" si="3"/>
        <v>#DIV/0!</v>
      </c>
    </row>
    <row r="59" spans="1:14" ht="36" hidden="1" customHeight="1">
      <c r="A59" s="153" t="s">
        <v>327</v>
      </c>
      <c r="B59" s="42" t="s">
        <v>488</v>
      </c>
      <c r="C59" s="43">
        <f>SUM(C60:C61)</f>
        <v>0</v>
      </c>
      <c r="D59" s="43">
        <f>SUM(D60:D61)</f>
        <v>0</v>
      </c>
      <c r="E59" s="44">
        <f t="shared" ref="E59:H59" si="16">SUM(E60:E61)</f>
        <v>0</v>
      </c>
      <c r="F59" s="44">
        <f t="shared" si="16"/>
        <v>0</v>
      </c>
      <c r="G59" s="44">
        <f t="shared" si="16"/>
        <v>0</v>
      </c>
      <c r="H59" s="44">
        <f t="shared" si="16"/>
        <v>0</v>
      </c>
      <c r="I59" s="45" t="e">
        <f t="shared" si="2"/>
        <v>#DIV/0!</v>
      </c>
      <c r="J59" s="45" t="e">
        <f t="shared" si="2"/>
        <v>#DIV/0!</v>
      </c>
      <c r="K59" s="45" t="e">
        <f t="shared" si="3"/>
        <v>#DIV/0!</v>
      </c>
      <c r="L59" s="45" t="e">
        <f t="shared" si="3"/>
        <v>#DIV/0!</v>
      </c>
    </row>
    <row r="60" spans="1:14" ht="15" hidden="1" customHeight="1">
      <c r="A60" s="153"/>
      <c r="B60" s="42" t="s">
        <v>489</v>
      </c>
      <c r="C60" s="43"/>
      <c r="D60" s="43"/>
      <c r="E60" s="44"/>
      <c r="F60" s="44"/>
      <c r="G60" s="44"/>
      <c r="H60" s="44"/>
      <c r="I60" s="45" t="e">
        <f t="shared" si="2"/>
        <v>#DIV/0!</v>
      </c>
      <c r="J60" s="45" t="e">
        <f t="shared" si="2"/>
        <v>#DIV/0!</v>
      </c>
      <c r="K60" s="45" t="e">
        <f t="shared" si="3"/>
        <v>#DIV/0!</v>
      </c>
      <c r="L60" s="45" t="e">
        <f t="shared" si="3"/>
        <v>#DIV/0!</v>
      </c>
    </row>
    <row r="61" spans="1:14" ht="14.25" hidden="1" customHeight="1">
      <c r="A61" s="153"/>
      <c r="B61" s="42" t="s">
        <v>490</v>
      </c>
      <c r="C61" s="43"/>
      <c r="D61" s="43"/>
      <c r="E61" s="44"/>
      <c r="F61" s="44"/>
      <c r="G61" s="44"/>
      <c r="H61" s="44"/>
      <c r="I61" s="45" t="e">
        <f t="shared" ref="I61:J75" si="17">E61/C61</f>
        <v>#DIV/0!</v>
      </c>
      <c r="J61" s="45" t="e">
        <f t="shared" si="17"/>
        <v>#DIV/0!</v>
      </c>
      <c r="K61" s="45" t="e">
        <f t="shared" ref="K61:L75" si="18">G61/C61</f>
        <v>#DIV/0!</v>
      </c>
      <c r="L61" s="45" t="e">
        <f t="shared" si="18"/>
        <v>#DIV/0!</v>
      </c>
    </row>
    <row r="62" spans="1:14" ht="33" hidden="1" customHeight="1">
      <c r="A62" s="153" t="s">
        <v>328</v>
      </c>
      <c r="B62" s="42" t="s">
        <v>491</v>
      </c>
      <c r="C62" s="43"/>
      <c r="D62" s="43"/>
      <c r="E62" s="44"/>
      <c r="F62" s="44"/>
      <c r="G62" s="44"/>
      <c r="H62" s="44"/>
      <c r="I62" s="45" t="e">
        <f t="shared" si="17"/>
        <v>#DIV/0!</v>
      </c>
      <c r="J62" s="45" t="e">
        <f t="shared" si="17"/>
        <v>#DIV/0!</v>
      </c>
      <c r="K62" s="45" t="e">
        <f t="shared" si="18"/>
        <v>#DIV/0!</v>
      </c>
      <c r="L62" s="45" t="e">
        <f t="shared" si="18"/>
        <v>#DIV/0!</v>
      </c>
    </row>
    <row r="63" spans="1:14" ht="18.75" customHeight="1">
      <c r="A63" s="153" t="s">
        <v>326</v>
      </c>
      <c r="B63" s="42" t="s">
        <v>492</v>
      </c>
      <c r="C63" s="43">
        <f>C64+C71+C72</f>
        <v>1424.16</v>
      </c>
      <c r="D63" s="43">
        <f>D64+D71+D72</f>
        <v>471.57</v>
      </c>
      <c r="E63" s="44">
        <f t="shared" ref="E63:H63" si="19">E64+E71+E72</f>
        <v>1420</v>
      </c>
      <c r="F63" s="44">
        <f t="shared" si="19"/>
        <v>830</v>
      </c>
      <c r="G63" s="44">
        <f t="shared" si="19"/>
        <v>1420</v>
      </c>
      <c r="H63" s="44">
        <f t="shared" si="19"/>
        <v>830</v>
      </c>
      <c r="I63" s="45">
        <f t="shared" si="17"/>
        <v>0.99707897988989991</v>
      </c>
      <c r="J63" s="45">
        <f t="shared" si="17"/>
        <v>1.7600780371949021</v>
      </c>
      <c r="K63" s="45">
        <f t="shared" si="18"/>
        <v>0.99707897988989991</v>
      </c>
      <c r="L63" s="45">
        <f t="shared" si="18"/>
        <v>1.7600780371949021</v>
      </c>
    </row>
    <row r="64" spans="1:14" ht="18.75" customHeight="1">
      <c r="A64" s="153" t="s">
        <v>493</v>
      </c>
      <c r="B64" s="42" t="s">
        <v>494</v>
      </c>
      <c r="C64" s="43">
        <f>C65+C68</f>
        <v>920.37</v>
      </c>
      <c r="D64" s="43">
        <f>D65+D68</f>
        <v>74</v>
      </c>
      <c r="E64" s="44">
        <f t="shared" ref="E64:H64" si="20">E65+E68</f>
        <v>990</v>
      </c>
      <c r="F64" s="44">
        <f t="shared" si="20"/>
        <v>500</v>
      </c>
      <c r="G64" s="413">
        <f t="shared" si="20"/>
        <v>990</v>
      </c>
      <c r="H64" s="44">
        <f t="shared" si="20"/>
        <v>500</v>
      </c>
      <c r="I64" s="45">
        <f t="shared" si="17"/>
        <v>1.0756543564001435</v>
      </c>
      <c r="J64" s="45">
        <f t="shared" si="17"/>
        <v>6.756756756756757</v>
      </c>
      <c r="K64" s="45">
        <f t="shared" si="18"/>
        <v>1.0756543564001435</v>
      </c>
      <c r="L64" s="45">
        <f t="shared" si="18"/>
        <v>6.756756756756757</v>
      </c>
    </row>
    <row r="65" spans="1:13">
      <c r="A65" s="153" t="s">
        <v>149</v>
      </c>
      <c r="B65" s="46" t="s">
        <v>495</v>
      </c>
      <c r="C65" s="43">
        <f>SUM(C66:C67)</f>
        <v>411</v>
      </c>
      <c r="D65" s="43">
        <f>SUM(D66:D67)</f>
        <v>11</v>
      </c>
      <c r="E65" s="43">
        <f t="shared" ref="E65:H65" si="21">SUM(E66:E67)</f>
        <v>400</v>
      </c>
      <c r="F65" s="43">
        <f t="shared" si="21"/>
        <v>0</v>
      </c>
      <c r="G65" s="43">
        <f t="shared" si="21"/>
        <v>400</v>
      </c>
      <c r="H65" s="43">
        <f t="shared" si="21"/>
        <v>0</v>
      </c>
      <c r="I65" s="160">
        <f t="shared" si="17"/>
        <v>0.97323600973236013</v>
      </c>
      <c r="J65" s="160">
        <f t="shared" si="17"/>
        <v>0</v>
      </c>
      <c r="K65" s="160">
        <f t="shared" si="18"/>
        <v>0.97323600973236013</v>
      </c>
      <c r="L65" s="160">
        <f t="shared" si="18"/>
        <v>0</v>
      </c>
    </row>
    <row r="66" spans="1:13" ht="18.75" customHeight="1">
      <c r="A66" s="153" t="s">
        <v>20</v>
      </c>
      <c r="B66" s="42" t="s">
        <v>496</v>
      </c>
      <c r="C66" s="43">
        <v>400</v>
      </c>
      <c r="D66" s="43"/>
      <c r="E66" s="44">
        <v>400</v>
      </c>
      <c r="F66" s="44"/>
      <c r="G66" s="44">
        <v>400</v>
      </c>
      <c r="H66" s="47"/>
      <c r="I66" s="45">
        <f t="shared" si="17"/>
        <v>1</v>
      </c>
      <c r="J66" s="45"/>
      <c r="K66" s="45">
        <f t="shared" si="18"/>
        <v>1</v>
      </c>
      <c r="L66" s="45"/>
    </row>
    <row r="67" spans="1:13" ht="18.75" customHeight="1">
      <c r="A67" s="153" t="s">
        <v>20</v>
      </c>
      <c r="B67" s="42" t="s">
        <v>497</v>
      </c>
      <c r="C67" s="43">
        <v>11</v>
      </c>
      <c r="D67" s="43">
        <v>11</v>
      </c>
      <c r="E67" s="44"/>
      <c r="F67" s="44"/>
      <c r="G67" s="44"/>
      <c r="H67" s="47"/>
      <c r="I67" s="45">
        <f t="shared" si="17"/>
        <v>0</v>
      </c>
      <c r="J67" s="45">
        <f t="shared" si="17"/>
        <v>0</v>
      </c>
      <c r="K67" s="45"/>
      <c r="L67" s="45">
        <f t="shared" si="18"/>
        <v>0</v>
      </c>
    </row>
    <row r="68" spans="1:13">
      <c r="A68" s="153" t="s">
        <v>150</v>
      </c>
      <c r="B68" s="46" t="s">
        <v>498</v>
      </c>
      <c r="C68" s="43">
        <f>SUM(C69:C70)</f>
        <v>509.37</v>
      </c>
      <c r="D68" s="43">
        <f>SUM(D69:D70)</f>
        <v>63</v>
      </c>
      <c r="E68" s="43">
        <f t="shared" ref="E68:H68" si="22">SUM(E69:E70)</f>
        <v>590</v>
      </c>
      <c r="F68" s="43">
        <f t="shared" si="22"/>
        <v>500</v>
      </c>
      <c r="G68" s="43">
        <f t="shared" si="22"/>
        <v>590</v>
      </c>
      <c r="H68" s="159">
        <f t="shared" si="22"/>
        <v>500</v>
      </c>
      <c r="I68" s="160">
        <f t="shared" si="17"/>
        <v>1.1582935783418733</v>
      </c>
      <c r="J68" s="160">
        <f t="shared" si="17"/>
        <v>7.9365079365079367</v>
      </c>
      <c r="K68" s="160">
        <f t="shared" si="18"/>
        <v>1.1582935783418733</v>
      </c>
      <c r="L68" s="160">
        <f t="shared" si="18"/>
        <v>7.9365079365079367</v>
      </c>
    </row>
    <row r="69" spans="1:13" ht="18.75" customHeight="1">
      <c r="A69" s="153" t="s">
        <v>20</v>
      </c>
      <c r="B69" s="42" t="s">
        <v>496</v>
      </c>
      <c r="C69" s="43">
        <v>76.36</v>
      </c>
      <c r="D69" s="43"/>
      <c r="E69" s="44">
        <v>90</v>
      </c>
      <c r="F69" s="44"/>
      <c r="G69" s="44">
        <v>90</v>
      </c>
      <c r="H69" s="47"/>
      <c r="I69" s="45">
        <f t="shared" si="17"/>
        <v>1.1786275536930331</v>
      </c>
      <c r="J69" s="45"/>
      <c r="K69" s="45">
        <f t="shared" si="18"/>
        <v>1.1786275536930331</v>
      </c>
      <c r="L69" s="45"/>
    </row>
    <row r="70" spans="1:13" ht="18.75" customHeight="1">
      <c r="A70" s="153" t="s">
        <v>20</v>
      </c>
      <c r="B70" s="42" t="s">
        <v>497</v>
      </c>
      <c r="C70" s="43">
        <v>433.01</v>
      </c>
      <c r="D70" s="43">
        <v>63</v>
      </c>
      <c r="E70" s="44">
        <v>500</v>
      </c>
      <c r="F70" s="44">
        <f>E70</f>
        <v>500</v>
      </c>
      <c r="G70" s="44">
        <v>500</v>
      </c>
      <c r="H70" s="47">
        <f>G70</f>
        <v>500</v>
      </c>
      <c r="I70" s="45">
        <f t="shared" si="17"/>
        <v>1.1547077434701278</v>
      </c>
      <c r="J70" s="45">
        <f t="shared" si="17"/>
        <v>7.9365079365079367</v>
      </c>
      <c r="K70" s="45">
        <f t="shared" si="18"/>
        <v>1.1547077434701278</v>
      </c>
      <c r="L70" s="45">
        <f t="shared" si="18"/>
        <v>7.9365079365079367</v>
      </c>
      <c r="M70" s="40"/>
    </row>
    <row r="71" spans="1:13" ht="38.25" hidden="1" customHeight="1">
      <c r="A71" s="153" t="s">
        <v>499</v>
      </c>
      <c r="B71" s="42" t="s">
        <v>500</v>
      </c>
      <c r="C71" s="43"/>
      <c r="D71" s="43"/>
      <c r="E71" s="44"/>
      <c r="F71" s="44"/>
      <c r="G71" s="44"/>
      <c r="H71" s="47"/>
      <c r="I71" s="45" t="e">
        <f t="shared" si="17"/>
        <v>#DIV/0!</v>
      </c>
      <c r="J71" s="45" t="e">
        <f t="shared" si="17"/>
        <v>#DIV/0!</v>
      </c>
      <c r="K71" s="45" t="e">
        <f t="shared" si="18"/>
        <v>#DIV/0!</v>
      </c>
      <c r="L71" s="45" t="e">
        <f t="shared" si="18"/>
        <v>#DIV/0!</v>
      </c>
    </row>
    <row r="72" spans="1:13" ht="17.25" customHeight="1">
      <c r="A72" s="153" t="s">
        <v>501</v>
      </c>
      <c r="B72" s="42" t="s">
        <v>502</v>
      </c>
      <c r="C72" s="43">
        <v>503.79</v>
      </c>
      <c r="D72" s="43">
        <v>397.57</v>
      </c>
      <c r="E72" s="44">
        <v>430</v>
      </c>
      <c r="F72" s="44">
        <v>330</v>
      </c>
      <c r="G72" s="44">
        <v>430</v>
      </c>
      <c r="H72" s="47">
        <v>330</v>
      </c>
      <c r="I72" s="45">
        <f t="shared" si="17"/>
        <v>0.85353024077492601</v>
      </c>
      <c r="J72" s="45">
        <f t="shared" si="17"/>
        <v>0.83004250823754311</v>
      </c>
      <c r="K72" s="45">
        <f t="shared" si="18"/>
        <v>0.85353024077492601</v>
      </c>
      <c r="L72" s="45">
        <f t="shared" si="18"/>
        <v>0.83004250823754311</v>
      </c>
      <c r="M72" s="40"/>
    </row>
    <row r="73" spans="1:13" ht="22.5" customHeight="1">
      <c r="A73" s="153" t="s">
        <v>327</v>
      </c>
      <c r="B73" s="46" t="s">
        <v>503</v>
      </c>
      <c r="C73" s="43">
        <f>SUM(C74:C75)</f>
        <v>172.61</v>
      </c>
      <c r="D73" s="43">
        <f>SUM(D74:D75)</f>
        <v>172.61</v>
      </c>
      <c r="E73" s="44">
        <f t="shared" ref="E73:H73" si="23">SUM(E74:E75)</f>
        <v>180</v>
      </c>
      <c r="F73" s="44">
        <f t="shared" si="23"/>
        <v>180</v>
      </c>
      <c r="G73" s="44">
        <f t="shared" si="23"/>
        <v>180</v>
      </c>
      <c r="H73" s="47">
        <f t="shared" si="23"/>
        <v>180</v>
      </c>
      <c r="I73" s="45">
        <f t="shared" si="17"/>
        <v>1.0428132784890793</v>
      </c>
      <c r="J73" s="45">
        <f t="shared" si="17"/>
        <v>1.0428132784890793</v>
      </c>
      <c r="K73" s="45">
        <f t="shared" si="18"/>
        <v>1.0428132784890793</v>
      </c>
      <c r="L73" s="45">
        <f t="shared" si="18"/>
        <v>1.0428132784890793</v>
      </c>
    </row>
    <row r="74" spans="1:13" ht="18.75" hidden="1" customHeight="1">
      <c r="A74" s="153" t="s">
        <v>20</v>
      </c>
      <c r="B74" s="42" t="s">
        <v>504</v>
      </c>
      <c r="C74" s="43"/>
      <c r="D74" s="43"/>
      <c r="E74" s="44"/>
      <c r="F74" s="44"/>
      <c r="G74" s="44"/>
      <c r="H74" s="47"/>
      <c r="I74" s="45" t="e">
        <f t="shared" si="17"/>
        <v>#DIV/0!</v>
      </c>
      <c r="J74" s="45" t="e">
        <f t="shared" si="17"/>
        <v>#DIV/0!</v>
      </c>
      <c r="K74" s="45" t="e">
        <f t="shared" si="18"/>
        <v>#DIV/0!</v>
      </c>
      <c r="L74" s="45" t="e">
        <f t="shared" si="18"/>
        <v>#DIV/0!</v>
      </c>
    </row>
    <row r="75" spans="1:13" ht="19.5" customHeight="1">
      <c r="A75" s="153" t="s">
        <v>20</v>
      </c>
      <c r="B75" s="42" t="s">
        <v>505</v>
      </c>
      <c r="C75" s="43">
        <v>172.61</v>
      </c>
      <c r="D75" s="43">
        <f>C75</f>
        <v>172.61</v>
      </c>
      <c r="E75" s="44">
        <v>180</v>
      </c>
      <c r="F75" s="44">
        <f>E75</f>
        <v>180</v>
      </c>
      <c r="G75" s="44">
        <v>180</v>
      </c>
      <c r="H75" s="47">
        <f>G75</f>
        <v>180</v>
      </c>
      <c r="I75" s="45">
        <f t="shared" si="17"/>
        <v>1.0428132784890793</v>
      </c>
      <c r="J75" s="45">
        <f t="shared" si="17"/>
        <v>1.0428132784890793</v>
      </c>
      <c r="K75" s="45">
        <f t="shared" si="18"/>
        <v>1.0428132784890793</v>
      </c>
      <c r="L75" s="45">
        <f t="shared" si="18"/>
        <v>1.0428132784890793</v>
      </c>
    </row>
    <row r="76" spans="1:13" ht="40.5" hidden="1" customHeight="1">
      <c r="A76" s="153">
        <v>15</v>
      </c>
      <c r="B76" s="50" t="s">
        <v>506</v>
      </c>
      <c r="C76" s="153"/>
      <c r="D76" s="153"/>
      <c r="E76" s="51"/>
      <c r="F76" s="51"/>
      <c r="G76" s="51"/>
      <c r="H76" s="52"/>
      <c r="I76" s="45"/>
      <c r="J76" s="45" t="e">
        <f>#REF!/#REF!</f>
        <v>#REF!</v>
      </c>
      <c r="K76" s="45"/>
      <c r="L76" s="45" t="e">
        <f>#REF!/#REF!</f>
        <v>#REF!</v>
      </c>
    </row>
    <row r="77" spans="1:13" ht="30.75" hidden="1" customHeight="1">
      <c r="A77" s="153">
        <v>16</v>
      </c>
      <c r="B77" s="50" t="s">
        <v>507</v>
      </c>
      <c r="C77" s="153"/>
      <c r="D77" s="153"/>
      <c r="E77" s="51"/>
      <c r="F77" s="51"/>
      <c r="G77" s="51"/>
      <c r="H77" s="52"/>
      <c r="I77" s="45"/>
      <c r="J77" s="45" t="e">
        <f>#REF!/#REF!</f>
        <v>#REF!</v>
      </c>
      <c r="K77" s="45"/>
      <c r="L77" s="45" t="e">
        <f>#REF!/#REF!</f>
        <v>#REF!</v>
      </c>
    </row>
    <row r="78" spans="1:13" ht="18.75" hidden="1" customHeight="1">
      <c r="A78" s="153" t="s">
        <v>329</v>
      </c>
      <c r="B78" s="50" t="s">
        <v>508</v>
      </c>
      <c r="C78" s="153"/>
      <c r="D78" s="153"/>
      <c r="E78" s="51"/>
      <c r="F78" s="51"/>
      <c r="G78" s="51"/>
      <c r="H78" s="52"/>
      <c r="I78" s="45"/>
      <c r="J78" s="45" t="e">
        <f>#REF!/#REF!</f>
        <v>#REF!</v>
      </c>
      <c r="K78" s="45"/>
      <c r="L78" s="45" t="e">
        <f>#REF!/#REF!</f>
        <v>#REF!</v>
      </c>
    </row>
    <row r="79" spans="1:13" ht="18.75" hidden="1" customHeight="1">
      <c r="A79" s="153" t="s">
        <v>26</v>
      </c>
      <c r="B79" s="50" t="s">
        <v>509</v>
      </c>
      <c r="C79" s="153"/>
      <c r="D79" s="153"/>
      <c r="E79" s="51"/>
      <c r="F79" s="51"/>
      <c r="G79" s="51"/>
      <c r="H79" s="52"/>
      <c r="I79" s="45"/>
      <c r="J79" s="45" t="e">
        <f>#REF!/#REF!</f>
        <v>#REF!</v>
      </c>
      <c r="K79" s="45"/>
      <c r="L79" s="45" t="e">
        <f>#REF!/#REF!</f>
        <v>#REF!</v>
      </c>
    </row>
    <row r="80" spans="1:13" ht="28.5" hidden="1" customHeight="1">
      <c r="A80" s="153" t="s">
        <v>32</v>
      </c>
      <c r="B80" s="50" t="s">
        <v>510</v>
      </c>
      <c r="C80" s="153"/>
      <c r="D80" s="153"/>
      <c r="E80" s="51"/>
      <c r="F80" s="51"/>
      <c r="G80" s="51"/>
      <c r="H80" s="52"/>
      <c r="I80" s="45"/>
      <c r="J80" s="45" t="e">
        <f>#REF!/#REF!</f>
        <v>#REF!</v>
      </c>
      <c r="K80" s="45"/>
      <c r="L80" s="45" t="e">
        <f>#REF!/#REF!</f>
        <v>#REF!</v>
      </c>
    </row>
    <row r="81" spans="1:12" ht="15.75" hidden="1" customHeight="1">
      <c r="A81" s="153" t="s">
        <v>64</v>
      </c>
      <c r="B81" s="50" t="s">
        <v>511</v>
      </c>
      <c r="C81" s="153"/>
      <c r="D81" s="153"/>
      <c r="E81" s="51"/>
      <c r="F81" s="51"/>
      <c r="G81" s="51"/>
      <c r="H81" s="52"/>
      <c r="I81" s="45"/>
      <c r="J81" s="45" t="e">
        <f>#REF!/#REF!</f>
        <v>#REF!</v>
      </c>
      <c r="K81" s="45"/>
      <c r="L81" s="45" t="e">
        <f>#REF!/#REF!</f>
        <v>#REF!</v>
      </c>
    </row>
    <row r="82" spans="1:12" ht="18.75" hidden="1" customHeight="1">
      <c r="A82" s="153"/>
      <c r="B82" s="50"/>
      <c r="C82" s="153"/>
      <c r="D82" s="153"/>
      <c r="E82" s="51"/>
      <c r="F82" s="51"/>
      <c r="G82" s="51"/>
      <c r="H82" s="52"/>
      <c r="I82" s="45"/>
      <c r="J82" s="45" t="e">
        <f>#REF!/#REF!</f>
        <v>#REF!</v>
      </c>
      <c r="K82" s="45"/>
      <c r="L82" s="45" t="e">
        <f>#REF!/#REF!</f>
        <v>#REF!</v>
      </c>
    </row>
    <row r="83" spans="1:12" ht="18.75" hidden="1" customHeight="1">
      <c r="A83" s="153"/>
      <c r="B83" s="50"/>
      <c r="C83" s="153"/>
      <c r="D83" s="153"/>
      <c r="E83" s="51"/>
      <c r="F83" s="51"/>
      <c r="G83" s="51"/>
      <c r="H83" s="52"/>
      <c r="I83" s="45"/>
      <c r="J83" s="45" t="e">
        <f>#REF!/#REF!</f>
        <v>#REF!</v>
      </c>
      <c r="K83" s="45"/>
      <c r="L83" s="45" t="e">
        <f>#REF!/#REF!</f>
        <v>#REF!</v>
      </c>
    </row>
    <row r="84" spans="1:12" ht="18.75" hidden="1" customHeight="1">
      <c r="A84" s="153"/>
      <c r="B84" s="50"/>
      <c r="C84" s="664"/>
      <c r="D84" s="664"/>
      <c r="E84" s="51"/>
      <c r="F84" s="51"/>
      <c r="G84" s="51"/>
      <c r="H84" s="52"/>
      <c r="I84" s="45"/>
      <c r="J84" s="45" t="e">
        <f>#REF!/#REF!</f>
        <v>#REF!</v>
      </c>
      <c r="K84" s="45"/>
      <c r="L84" s="45" t="e">
        <f>#REF!/#REF!</f>
        <v>#REF!</v>
      </c>
    </row>
    <row r="85" spans="1:12" ht="18.75" hidden="1" customHeight="1">
      <c r="A85" s="153"/>
      <c r="B85" s="50"/>
      <c r="C85" s="664"/>
      <c r="D85" s="664"/>
      <c r="E85" s="51"/>
      <c r="F85" s="51"/>
      <c r="G85" s="51"/>
      <c r="H85" s="52"/>
      <c r="I85" s="45"/>
      <c r="J85" s="45" t="e">
        <f>#REF!/#REF!</f>
        <v>#REF!</v>
      </c>
      <c r="K85" s="45"/>
      <c r="L85" s="45" t="e">
        <f>#REF!/#REF!</f>
        <v>#REF!</v>
      </c>
    </row>
    <row r="86" spans="1:12">
      <c r="A86" s="53"/>
      <c r="B86" s="54"/>
      <c r="C86" s="53"/>
      <c r="D86" s="53"/>
      <c r="E86" s="55"/>
      <c r="F86" s="55"/>
      <c r="G86" s="55"/>
      <c r="H86" s="56"/>
      <c r="I86" s="57"/>
      <c r="J86" s="57"/>
      <c r="K86" s="57"/>
      <c r="L86" s="57"/>
    </row>
    <row r="87" spans="1:12">
      <c r="A87" s="39"/>
      <c r="C87" s="39"/>
      <c r="D87" s="39"/>
      <c r="E87" s="154"/>
      <c r="F87" s="154"/>
      <c r="G87" s="154"/>
      <c r="H87" s="154"/>
      <c r="I87" s="154"/>
      <c r="J87" s="154"/>
      <c r="K87" s="154"/>
      <c r="L87" s="154"/>
    </row>
  </sheetData>
  <mergeCells count="20">
    <mergeCell ref="G6:H7"/>
    <mergeCell ref="I6:J7"/>
    <mergeCell ref="K6:L7"/>
    <mergeCell ref="A1:B1"/>
    <mergeCell ref="H1:L1"/>
    <mergeCell ref="A2:L2"/>
    <mergeCell ref="E4:F4"/>
    <mergeCell ref="G4:H4"/>
    <mergeCell ref="A5:A8"/>
    <mergeCell ref="B5:B8"/>
    <mergeCell ref="C5:D5"/>
    <mergeCell ref="E5:H5"/>
    <mergeCell ref="I5:L5"/>
    <mergeCell ref="J4:L4"/>
    <mergeCell ref="A3:L3"/>
    <mergeCell ref="C84:D84"/>
    <mergeCell ref="C85:D85"/>
    <mergeCell ref="C6:C8"/>
    <mergeCell ref="D6:D8"/>
    <mergeCell ref="E6:F7"/>
  </mergeCells>
  <printOptions horizontalCentered="1"/>
  <pageMargins left="0.27559055118110198" right="0.15748031496063" top="0.27559055118110198" bottom="0.196850393700787" header="0.31496062992126" footer="0.31496062992126"/>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topLeftCell="A39" workbookViewId="0">
      <selection activeCell="E10" sqref="E10"/>
    </sheetView>
  </sheetViews>
  <sheetFormatPr defaultRowHeight="15"/>
  <cols>
    <col min="1" max="1" width="5.7109375" style="2" customWidth="1"/>
    <col min="2" max="2" width="44.5703125" style="2" customWidth="1"/>
    <col min="3" max="3" width="13.140625" style="2" customWidth="1"/>
    <col min="4" max="4" width="11.5703125" style="2" customWidth="1"/>
    <col min="5" max="5" width="12.140625" style="2" customWidth="1"/>
    <col min="6" max="6" width="11.7109375" style="2" customWidth="1"/>
    <col min="7" max="7" width="9.7109375" style="2" bestFit="1" customWidth="1"/>
    <col min="8" max="8" width="9.28515625" style="2" bestFit="1" customWidth="1"/>
    <col min="9" max="9" width="10.42578125" style="2" customWidth="1"/>
    <col min="10" max="10" width="11.140625" style="2" customWidth="1"/>
    <col min="11" max="16384" width="9.140625" style="2"/>
  </cols>
  <sheetData>
    <row r="1" spans="1:11" ht="21.75" customHeight="1">
      <c r="A1" s="655" t="s">
        <v>170</v>
      </c>
      <c r="B1" s="655"/>
      <c r="C1" s="62"/>
      <c r="D1" s="62"/>
      <c r="E1" s="62"/>
      <c r="F1" s="683" t="s">
        <v>512</v>
      </c>
      <c r="G1" s="683"/>
      <c r="H1" s="683"/>
      <c r="I1" s="683"/>
      <c r="J1" s="683"/>
    </row>
    <row r="2" spans="1:11">
      <c r="A2" s="684" t="s">
        <v>513</v>
      </c>
      <c r="B2" s="684"/>
      <c r="C2" s="684"/>
      <c r="D2" s="684"/>
      <c r="E2" s="684"/>
      <c r="F2" s="684"/>
      <c r="G2" s="684"/>
      <c r="H2" s="684"/>
      <c r="I2" s="684"/>
      <c r="J2" s="684"/>
    </row>
    <row r="3" spans="1:11">
      <c r="A3" s="681" t="s">
        <v>643</v>
      </c>
      <c r="B3" s="681"/>
      <c r="C3" s="681"/>
      <c r="D3" s="681"/>
      <c r="E3" s="681"/>
      <c r="F3" s="681"/>
      <c r="G3" s="681"/>
      <c r="H3" s="681"/>
      <c r="I3" s="681"/>
      <c r="J3" s="681"/>
    </row>
    <row r="4" spans="1:11">
      <c r="A4" s="63"/>
      <c r="C4" s="64"/>
      <c r="D4" s="65"/>
      <c r="E4" s="64"/>
      <c r="F4" s="64"/>
      <c r="G4" s="685" t="s">
        <v>38</v>
      </c>
      <c r="H4" s="685"/>
      <c r="I4" s="685"/>
      <c r="J4" s="685"/>
    </row>
    <row r="5" spans="1:11" ht="34.5" customHeight="1">
      <c r="A5" s="686" t="s">
        <v>10</v>
      </c>
      <c r="B5" s="686" t="s">
        <v>11</v>
      </c>
      <c r="C5" s="689" t="s">
        <v>339</v>
      </c>
      <c r="D5" s="690"/>
      <c r="E5" s="689" t="s">
        <v>389</v>
      </c>
      <c r="F5" s="690"/>
      <c r="G5" s="691" t="s">
        <v>514</v>
      </c>
      <c r="H5" s="692"/>
      <c r="I5" s="692"/>
      <c r="J5" s="693"/>
    </row>
    <row r="6" spans="1:11" s="61" customFormat="1" ht="21.75" customHeight="1">
      <c r="A6" s="687"/>
      <c r="B6" s="687"/>
      <c r="C6" s="694" t="s">
        <v>421</v>
      </c>
      <c r="D6" s="694" t="s">
        <v>422</v>
      </c>
      <c r="E6" s="694" t="s">
        <v>421</v>
      </c>
      <c r="F6" s="694" t="s">
        <v>422</v>
      </c>
      <c r="G6" s="679" t="s">
        <v>421</v>
      </c>
      <c r="H6" s="680"/>
      <c r="I6" s="679" t="s">
        <v>423</v>
      </c>
      <c r="J6" s="680"/>
    </row>
    <row r="7" spans="1:11" s="61" customFormat="1" ht="30" customHeight="1">
      <c r="A7" s="688"/>
      <c r="B7" s="688"/>
      <c r="C7" s="695"/>
      <c r="D7" s="695"/>
      <c r="E7" s="695"/>
      <c r="F7" s="695"/>
      <c r="G7" s="71" t="s">
        <v>515</v>
      </c>
      <c r="H7" s="71" t="s">
        <v>516</v>
      </c>
      <c r="I7" s="71" t="s">
        <v>515</v>
      </c>
      <c r="J7" s="71" t="s">
        <v>516</v>
      </c>
    </row>
    <row r="8" spans="1:11" s="61" customFormat="1" ht="21.75" customHeight="1">
      <c r="A8" s="71" t="s">
        <v>14</v>
      </c>
      <c r="B8" s="71" t="s">
        <v>15</v>
      </c>
      <c r="C8" s="71">
        <v>1</v>
      </c>
      <c r="D8" s="71">
        <v>2</v>
      </c>
      <c r="E8" s="71">
        <v>3</v>
      </c>
      <c r="F8" s="71">
        <v>4</v>
      </c>
      <c r="G8" s="71">
        <v>5</v>
      </c>
      <c r="H8" s="71">
        <v>6</v>
      </c>
      <c r="I8" s="71">
        <v>7</v>
      </c>
      <c r="J8" s="71">
        <v>8</v>
      </c>
    </row>
    <row r="9" spans="1:11" s="18" customFormat="1" ht="29.25" customHeight="1">
      <c r="A9" s="72"/>
      <c r="B9" s="73" t="s">
        <v>517</v>
      </c>
      <c r="C9" s="74">
        <f>C10+C32</f>
        <v>319343</v>
      </c>
      <c r="D9" s="75">
        <f>D10+D32</f>
        <v>366153.17</v>
      </c>
      <c r="E9" s="75">
        <f>E10+E32</f>
        <v>361225</v>
      </c>
      <c r="F9" s="75">
        <f>F10+F32</f>
        <v>447546.74900000001</v>
      </c>
      <c r="G9" s="74">
        <f>E9-C9</f>
        <v>41882</v>
      </c>
      <c r="H9" s="76">
        <f>E9/C9</f>
        <v>1.1311505184081065</v>
      </c>
      <c r="I9" s="74">
        <f>F9-D9</f>
        <v>81393.579000000027</v>
      </c>
      <c r="J9" s="76">
        <f>F9/D9</f>
        <v>1.2222937985215314</v>
      </c>
    </row>
    <row r="10" spans="1:11" s="18" customFormat="1" ht="30" customHeight="1">
      <c r="A10" s="77" t="s">
        <v>14</v>
      </c>
      <c r="B10" s="78" t="s">
        <v>172</v>
      </c>
      <c r="C10" s="79">
        <f>C11+C24+C30+C31</f>
        <v>286172</v>
      </c>
      <c r="D10" s="80">
        <f>D11+D24+D30+D31</f>
        <v>332982.17</v>
      </c>
      <c r="E10" s="80">
        <f>E11+E24+E30+E31</f>
        <v>353127</v>
      </c>
      <c r="F10" s="80">
        <f>F11+F24+F30+F31</f>
        <v>439448.74900000001</v>
      </c>
      <c r="G10" s="79">
        <f t="shared" ref="G10:G73" si="0">E10-C10</f>
        <v>66955</v>
      </c>
      <c r="H10" s="81">
        <f t="shared" ref="H10:H73" si="1">E10/C10</f>
        <v>1.2339676837705995</v>
      </c>
      <c r="I10" s="79">
        <f t="shared" ref="I10:I73" si="2">F10-D10</f>
        <v>106466.57900000003</v>
      </c>
      <c r="J10" s="81">
        <f t="shared" ref="J10:J73" si="3">F10/D10</f>
        <v>1.3197365762857514</v>
      </c>
    </row>
    <row r="11" spans="1:11" s="18" customFormat="1" ht="21.75" customHeight="1">
      <c r="A11" s="77" t="s">
        <v>16</v>
      </c>
      <c r="B11" s="78" t="s">
        <v>430</v>
      </c>
      <c r="C11" s="79">
        <f t="shared" ref="C11:F11" si="4">C12</f>
        <v>10472</v>
      </c>
      <c r="D11" s="80">
        <f t="shared" si="4"/>
        <v>51832</v>
      </c>
      <c r="E11" s="80">
        <f t="shared" si="4"/>
        <v>18392</v>
      </c>
      <c r="F11" s="80">
        <f t="shared" si="4"/>
        <v>97064</v>
      </c>
      <c r="G11" s="79">
        <f t="shared" si="0"/>
        <v>7920</v>
      </c>
      <c r="H11" s="81">
        <f t="shared" si="1"/>
        <v>1.7563025210084033</v>
      </c>
      <c r="I11" s="79">
        <f t="shared" si="2"/>
        <v>45232</v>
      </c>
      <c r="J11" s="81">
        <f t="shared" si="3"/>
        <v>1.8726655348047538</v>
      </c>
    </row>
    <row r="12" spans="1:11" s="18" customFormat="1" ht="21.75" customHeight="1">
      <c r="A12" s="77">
        <v>1</v>
      </c>
      <c r="B12" s="78" t="s">
        <v>58</v>
      </c>
      <c r="C12" s="79">
        <f t="shared" ref="C12" si="5">C19</f>
        <v>10472</v>
      </c>
      <c r="D12" s="80">
        <f>D19</f>
        <v>51832</v>
      </c>
      <c r="E12" s="80">
        <f>E19</f>
        <v>18392</v>
      </c>
      <c r="F12" s="80">
        <f>F19</f>
        <v>97064</v>
      </c>
      <c r="G12" s="79">
        <f t="shared" si="0"/>
        <v>7920</v>
      </c>
      <c r="H12" s="81">
        <f t="shared" si="1"/>
        <v>1.7563025210084033</v>
      </c>
      <c r="I12" s="79">
        <f t="shared" si="2"/>
        <v>45232</v>
      </c>
      <c r="J12" s="81">
        <f t="shared" si="3"/>
        <v>1.8726655348047538</v>
      </c>
    </row>
    <row r="13" spans="1:11" s="18" customFormat="1" ht="21.75" customHeight="1">
      <c r="A13" s="77"/>
      <c r="B13" s="78" t="s">
        <v>518</v>
      </c>
      <c r="C13" s="79">
        <v>10472</v>
      </c>
      <c r="D13" s="80">
        <f>SUM(D14:D18)</f>
        <v>51832</v>
      </c>
      <c r="E13" s="80">
        <f>SUM(E14:E18)</f>
        <v>18392</v>
      </c>
      <c r="F13" s="80">
        <f>SUM(F14:F18)</f>
        <v>97064</v>
      </c>
      <c r="G13" s="79">
        <f t="shared" si="0"/>
        <v>7920</v>
      </c>
      <c r="H13" s="81">
        <f t="shared" si="1"/>
        <v>1.7563025210084033</v>
      </c>
      <c r="I13" s="79">
        <f t="shared" si="2"/>
        <v>45232</v>
      </c>
      <c r="J13" s="81">
        <f t="shared" si="3"/>
        <v>1.8726655348047538</v>
      </c>
    </row>
    <row r="14" spans="1:11" ht="21.75" customHeight="1">
      <c r="A14" s="82" t="s">
        <v>20</v>
      </c>
      <c r="B14" s="83" t="s">
        <v>59</v>
      </c>
      <c r="C14" s="84"/>
      <c r="D14" s="32">
        <f>6880+4000</f>
        <v>10880</v>
      </c>
      <c r="E14" s="32">
        <v>2602</v>
      </c>
      <c r="F14" s="32">
        <v>2602</v>
      </c>
      <c r="G14" s="84">
        <f>E14-C14</f>
        <v>2602</v>
      </c>
      <c r="H14" s="85"/>
      <c r="I14" s="84">
        <f t="shared" si="2"/>
        <v>-8278</v>
      </c>
      <c r="J14" s="85">
        <f t="shared" si="3"/>
        <v>0.23915441176470589</v>
      </c>
      <c r="K14" s="15"/>
    </row>
    <row r="15" spans="1:11" ht="21.75" customHeight="1">
      <c r="A15" s="82" t="s">
        <v>20</v>
      </c>
      <c r="B15" s="83" t="s">
        <v>184</v>
      </c>
      <c r="C15" s="84"/>
      <c r="D15" s="32"/>
      <c r="E15" s="32">
        <v>5700</v>
      </c>
      <c r="F15" s="32">
        <v>5700</v>
      </c>
      <c r="G15" s="84">
        <f t="shared" si="0"/>
        <v>5700</v>
      </c>
      <c r="H15" s="85"/>
      <c r="I15" s="84">
        <f t="shared" si="2"/>
        <v>5700</v>
      </c>
      <c r="J15" s="85"/>
      <c r="K15" s="15"/>
    </row>
    <row r="16" spans="1:11" ht="21.75" customHeight="1">
      <c r="A16" s="82" t="s">
        <v>20</v>
      </c>
      <c r="B16" s="83" t="s">
        <v>186</v>
      </c>
      <c r="C16" s="84"/>
      <c r="D16" s="32">
        <v>40952</v>
      </c>
      <c r="E16" s="32">
        <v>10090</v>
      </c>
      <c r="F16" s="32">
        <v>78870</v>
      </c>
      <c r="G16" s="84">
        <f t="shared" si="0"/>
        <v>10090</v>
      </c>
      <c r="H16" s="85"/>
      <c r="I16" s="84">
        <f t="shared" si="2"/>
        <v>37918</v>
      </c>
      <c r="J16" s="85">
        <f t="shared" si="3"/>
        <v>1.9259132643094354</v>
      </c>
    </row>
    <row r="17" spans="1:11" ht="30">
      <c r="A17" s="82" t="s">
        <v>20</v>
      </c>
      <c r="B17" s="161" t="s">
        <v>81</v>
      </c>
      <c r="C17" s="84"/>
      <c r="D17" s="32"/>
      <c r="E17" s="32"/>
      <c r="F17" s="32">
        <v>6200</v>
      </c>
      <c r="G17" s="84"/>
      <c r="H17" s="85"/>
      <c r="I17" s="84"/>
      <c r="J17" s="85"/>
      <c r="K17" s="15"/>
    </row>
    <row r="18" spans="1:11" s="66" customFormat="1" ht="21.75" customHeight="1">
      <c r="A18" s="82" t="s">
        <v>20</v>
      </c>
      <c r="B18" s="83" t="s">
        <v>187</v>
      </c>
      <c r="C18" s="84"/>
      <c r="D18" s="32"/>
      <c r="E18" s="32"/>
      <c r="F18" s="32">
        <v>3692</v>
      </c>
      <c r="G18" s="84">
        <f t="shared" si="0"/>
        <v>0</v>
      </c>
      <c r="H18" s="85"/>
      <c r="I18" s="84">
        <f t="shared" si="2"/>
        <v>3692</v>
      </c>
      <c r="J18" s="85"/>
    </row>
    <row r="19" spans="1:11" s="18" customFormat="1" ht="21.75" customHeight="1">
      <c r="A19" s="77"/>
      <c r="B19" s="78" t="s">
        <v>519</v>
      </c>
      <c r="C19" s="79">
        <f>SUM(C20:C21)</f>
        <v>10472</v>
      </c>
      <c r="D19" s="80">
        <f>SUM(D20:D21)</f>
        <v>51832</v>
      </c>
      <c r="E19" s="80">
        <f>SUM(E20:E21)</f>
        <v>18392</v>
      </c>
      <c r="F19" s="80">
        <f>SUM(F20:F21)</f>
        <v>97064</v>
      </c>
      <c r="G19" s="79">
        <f t="shared" si="0"/>
        <v>7920</v>
      </c>
      <c r="H19" s="81">
        <f t="shared" si="1"/>
        <v>1.7563025210084033</v>
      </c>
      <c r="I19" s="79">
        <f t="shared" si="2"/>
        <v>45232</v>
      </c>
      <c r="J19" s="81">
        <f t="shared" si="3"/>
        <v>1.8726655348047538</v>
      </c>
      <c r="K19" s="67"/>
    </row>
    <row r="20" spans="1:11" ht="21.75" customHeight="1">
      <c r="A20" s="86" t="s">
        <v>20</v>
      </c>
      <c r="B20" s="87" t="s">
        <v>178</v>
      </c>
      <c r="C20" s="84">
        <v>7832</v>
      </c>
      <c r="D20" s="32">
        <v>7832</v>
      </c>
      <c r="E20" s="32">
        <v>7832</v>
      </c>
      <c r="F20" s="32">
        <v>7832</v>
      </c>
      <c r="G20" s="84">
        <f t="shared" si="0"/>
        <v>0</v>
      </c>
      <c r="H20" s="85">
        <f t="shared" si="1"/>
        <v>1</v>
      </c>
      <c r="I20" s="84">
        <f t="shared" si="2"/>
        <v>0</v>
      </c>
      <c r="J20" s="85">
        <f t="shared" si="3"/>
        <v>1</v>
      </c>
    </row>
    <row r="21" spans="1:11" ht="21.75" customHeight="1">
      <c r="A21" s="86" t="s">
        <v>20</v>
      </c>
      <c r="B21" s="87" t="s">
        <v>134</v>
      </c>
      <c r="C21" s="84">
        <v>2640</v>
      </c>
      <c r="D21" s="32">
        <v>44000</v>
      </c>
      <c r="E21" s="32">
        <v>10560</v>
      </c>
      <c r="F21" s="88">
        <v>89232</v>
      </c>
      <c r="G21" s="84">
        <f t="shared" si="0"/>
        <v>7920</v>
      </c>
      <c r="H21" s="85">
        <f t="shared" si="1"/>
        <v>4</v>
      </c>
      <c r="I21" s="84">
        <f t="shared" si="2"/>
        <v>45232</v>
      </c>
      <c r="J21" s="85">
        <f t="shared" si="3"/>
        <v>2.028</v>
      </c>
    </row>
    <row r="22" spans="1:11" ht="71.25">
      <c r="A22" s="89">
        <v>2</v>
      </c>
      <c r="B22" s="78" t="s">
        <v>175</v>
      </c>
      <c r="C22" s="84"/>
      <c r="D22" s="32"/>
      <c r="E22" s="32"/>
      <c r="F22" s="32"/>
      <c r="G22" s="84">
        <f t="shared" si="0"/>
        <v>0</v>
      </c>
      <c r="H22" s="85"/>
      <c r="I22" s="84">
        <f t="shared" si="2"/>
        <v>0</v>
      </c>
      <c r="J22" s="85"/>
    </row>
    <row r="23" spans="1:11" ht="21.75" customHeight="1">
      <c r="A23" s="89">
        <v>3</v>
      </c>
      <c r="B23" s="25" t="s">
        <v>243</v>
      </c>
      <c r="C23" s="84"/>
      <c r="D23" s="32"/>
      <c r="E23" s="32"/>
      <c r="F23" s="32"/>
      <c r="G23" s="84">
        <f t="shared" si="0"/>
        <v>0</v>
      </c>
      <c r="H23" s="85"/>
      <c r="I23" s="84">
        <f t="shared" si="2"/>
        <v>0</v>
      </c>
      <c r="J23" s="85"/>
    </row>
    <row r="24" spans="1:11" s="68" customFormat="1" ht="21.75" customHeight="1">
      <c r="A24" s="77" t="s">
        <v>26</v>
      </c>
      <c r="B24" s="78" t="s">
        <v>85</v>
      </c>
      <c r="C24" s="79">
        <f>SUM(C26:C29)</f>
        <v>269970</v>
      </c>
      <c r="D24" s="80">
        <f>SUM(D26:D29)</f>
        <v>268645.86</v>
      </c>
      <c r="E24" s="80">
        <f>SUM(E26:E29)</f>
        <v>327672</v>
      </c>
      <c r="F24" s="80">
        <f>SUM(F26:F29)</f>
        <v>329966.74900000001</v>
      </c>
      <c r="G24" s="79">
        <f t="shared" si="0"/>
        <v>57702</v>
      </c>
      <c r="H24" s="81">
        <f t="shared" si="1"/>
        <v>1.2137348594288255</v>
      </c>
      <c r="I24" s="79">
        <f t="shared" si="2"/>
        <v>61320.889000000025</v>
      </c>
      <c r="J24" s="81">
        <f t="shared" si="3"/>
        <v>1.2282591996764813</v>
      </c>
    </row>
    <row r="25" spans="1:11" s="68" customFormat="1" ht="21.75" customHeight="1">
      <c r="A25" s="77"/>
      <c r="B25" s="78" t="s">
        <v>63</v>
      </c>
      <c r="C25" s="79"/>
      <c r="D25" s="80"/>
      <c r="E25" s="80"/>
      <c r="F25" s="80"/>
      <c r="G25" s="84">
        <f t="shared" si="0"/>
        <v>0</v>
      </c>
      <c r="H25" s="85"/>
      <c r="I25" s="84">
        <f t="shared" si="2"/>
        <v>0</v>
      </c>
      <c r="J25" s="85"/>
    </row>
    <row r="26" spans="1:11" s="66" customFormat="1" ht="21.75" customHeight="1">
      <c r="A26" s="82" t="s">
        <v>20</v>
      </c>
      <c r="B26" s="83" t="s">
        <v>59</v>
      </c>
      <c r="C26" s="90">
        <v>159376</v>
      </c>
      <c r="D26" s="32">
        <v>159376.25</v>
      </c>
      <c r="E26" s="32">
        <v>196950</v>
      </c>
      <c r="F26" s="32">
        <v>196950</v>
      </c>
      <c r="G26" s="84">
        <f t="shared" si="0"/>
        <v>37574</v>
      </c>
      <c r="H26" s="85">
        <f t="shared" si="1"/>
        <v>1.2357569521132417</v>
      </c>
      <c r="I26" s="84">
        <f t="shared" si="2"/>
        <v>37573.75</v>
      </c>
      <c r="J26" s="85">
        <f t="shared" si="3"/>
        <v>1.2357550136861672</v>
      </c>
    </row>
    <row r="27" spans="1:11" s="66" customFormat="1" ht="21.75" customHeight="1">
      <c r="A27" s="82" t="s">
        <v>20</v>
      </c>
      <c r="B27" s="83" t="s">
        <v>60</v>
      </c>
      <c r="C27" s="91">
        <v>150</v>
      </c>
      <c r="D27" s="32">
        <v>150</v>
      </c>
      <c r="E27" s="32">
        <v>150</v>
      </c>
      <c r="F27" s="32">
        <v>150</v>
      </c>
      <c r="G27" s="84">
        <f t="shared" si="0"/>
        <v>0</v>
      </c>
      <c r="H27" s="85">
        <f t="shared" si="1"/>
        <v>1</v>
      </c>
      <c r="I27" s="84">
        <f t="shared" si="2"/>
        <v>0</v>
      </c>
      <c r="J27" s="85">
        <f t="shared" si="3"/>
        <v>1</v>
      </c>
    </row>
    <row r="28" spans="1:11" s="66" customFormat="1" ht="21.75" customHeight="1">
      <c r="A28" s="82" t="s">
        <v>20</v>
      </c>
      <c r="B28" s="83" t="s">
        <v>188</v>
      </c>
      <c r="C28" s="92">
        <f>2007</f>
        <v>2007</v>
      </c>
      <c r="D28" s="93">
        <v>2123.61</v>
      </c>
      <c r="E28" s="93">
        <v>6399</v>
      </c>
      <c r="F28" s="93">
        <v>6399</v>
      </c>
      <c r="G28" s="84">
        <f t="shared" si="0"/>
        <v>4392</v>
      </c>
      <c r="H28" s="85">
        <f t="shared" si="1"/>
        <v>3.188340807174888</v>
      </c>
      <c r="I28" s="84">
        <f t="shared" si="2"/>
        <v>4275.3899999999994</v>
      </c>
      <c r="J28" s="85">
        <f t="shared" si="3"/>
        <v>3.0132651475553418</v>
      </c>
    </row>
    <row r="29" spans="1:11" s="69" customFormat="1" ht="21.75" customHeight="1">
      <c r="A29" s="94" t="s">
        <v>20</v>
      </c>
      <c r="B29" s="95" t="s">
        <v>189</v>
      </c>
      <c r="C29" s="96">
        <v>108437</v>
      </c>
      <c r="D29" s="93">
        <v>106996</v>
      </c>
      <c r="E29" s="93">
        <v>124173</v>
      </c>
      <c r="F29" s="93">
        <v>126467.749</v>
      </c>
      <c r="G29" s="97">
        <v>15736</v>
      </c>
      <c r="H29" s="98">
        <f t="shared" si="1"/>
        <v>1.1451165192692532</v>
      </c>
      <c r="I29" s="97">
        <f t="shared" si="2"/>
        <v>19471.748999999996</v>
      </c>
      <c r="J29" s="98">
        <f t="shared" si="3"/>
        <v>1.1819857658230213</v>
      </c>
    </row>
    <row r="30" spans="1:11" s="68" customFormat="1" ht="21.75" customHeight="1">
      <c r="A30" s="77" t="s">
        <v>32</v>
      </c>
      <c r="B30" s="78" t="s">
        <v>67</v>
      </c>
      <c r="C30" s="80">
        <v>5730</v>
      </c>
      <c r="D30" s="80">
        <v>5730</v>
      </c>
      <c r="E30" s="80">
        <v>7063</v>
      </c>
      <c r="F30" s="80">
        <v>7063</v>
      </c>
      <c r="G30" s="84">
        <f t="shared" si="0"/>
        <v>1333</v>
      </c>
      <c r="H30" s="85">
        <f t="shared" si="1"/>
        <v>1.2326352530541012</v>
      </c>
      <c r="I30" s="84">
        <f t="shared" si="2"/>
        <v>1333</v>
      </c>
      <c r="J30" s="81">
        <f t="shared" si="3"/>
        <v>1.2326352530541012</v>
      </c>
    </row>
    <row r="31" spans="1:11" s="68" customFormat="1" ht="21.75" customHeight="1">
      <c r="A31" s="77" t="s">
        <v>64</v>
      </c>
      <c r="B31" s="78" t="s">
        <v>191</v>
      </c>
      <c r="C31" s="80">
        <v>0</v>
      </c>
      <c r="D31" s="80">
        <v>6774.31</v>
      </c>
      <c r="E31" s="80"/>
      <c r="F31" s="80">
        <v>5355</v>
      </c>
      <c r="G31" s="84">
        <f t="shared" si="0"/>
        <v>0</v>
      </c>
      <c r="H31" s="85"/>
      <c r="I31" s="84">
        <f t="shared" si="2"/>
        <v>-1419.3100000000004</v>
      </c>
      <c r="J31" s="81">
        <f t="shared" si="3"/>
        <v>0.79048641116217</v>
      </c>
    </row>
    <row r="32" spans="1:11" s="68" customFormat="1" ht="21.75" customHeight="1">
      <c r="A32" s="77" t="s">
        <v>15</v>
      </c>
      <c r="B32" s="78" t="s">
        <v>192</v>
      </c>
      <c r="C32" s="80">
        <f>C33+C36+C56</f>
        <v>33171</v>
      </c>
      <c r="D32" s="80">
        <f>D33+D36+D56</f>
        <v>33171</v>
      </c>
      <c r="E32" s="80">
        <f>E33+E36+E56</f>
        <v>8098</v>
      </c>
      <c r="F32" s="80">
        <f>F33+F36+F56</f>
        <v>8098</v>
      </c>
      <c r="G32" s="79">
        <f t="shared" si="0"/>
        <v>-25073</v>
      </c>
      <c r="H32" s="81">
        <f t="shared" si="1"/>
        <v>0.24412890778089294</v>
      </c>
      <c r="I32" s="79">
        <f t="shared" si="2"/>
        <v>-25073</v>
      </c>
      <c r="J32" s="81">
        <f t="shared" si="3"/>
        <v>0.24412890778089294</v>
      </c>
    </row>
    <row r="33" spans="1:11" s="68" customFormat="1" ht="28.5" customHeight="1">
      <c r="A33" s="77" t="s">
        <v>16</v>
      </c>
      <c r="B33" s="78" t="s">
        <v>193</v>
      </c>
      <c r="C33" s="80">
        <f>SUM(C34:C35)</f>
        <v>0</v>
      </c>
      <c r="D33" s="80">
        <f>SUM(D34:D35)</f>
        <v>0</v>
      </c>
      <c r="E33" s="80">
        <f>SUM(E34:E35)</f>
        <v>0</v>
      </c>
      <c r="F33" s="80">
        <f>SUM(F34:F35)</f>
        <v>0</v>
      </c>
      <c r="G33" s="84">
        <f t="shared" si="0"/>
        <v>0</v>
      </c>
      <c r="H33" s="85"/>
      <c r="I33" s="84">
        <f t="shared" si="2"/>
        <v>0</v>
      </c>
      <c r="J33" s="85"/>
    </row>
    <row r="34" spans="1:11" s="66" customFormat="1" ht="21.75" hidden="1" customHeight="1">
      <c r="A34" s="86" t="s">
        <v>20</v>
      </c>
      <c r="B34" s="87" t="s">
        <v>194</v>
      </c>
      <c r="C34" s="32"/>
      <c r="D34" s="32"/>
      <c r="E34" s="32"/>
      <c r="F34" s="32"/>
      <c r="G34" s="84">
        <f t="shared" si="0"/>
        <v>0</v>
      </c>
      <c r="H34" s="85"/>
      <c r="I34" s="84">
        <f t="shared" si="2"/>
        <v>0</v>
      </c>
      <c r="J34" s="85"/>
    </row>
    <row r="35" spans="1:11" s="66" customFormat="1" ht="21.75" hidden="1" customHeight="1">
      <c r="A35" s="86" t="s">
        <v>20</v>
      </c>
      <c r="B35" s="87" t="s">
        <v>196</v>
      </c>
      <c r="C35" s="99"/>
      <c r="D35" s="99"/>
      <c r="E35" s="99"/>
      <c r="F35" s="99"/>
      <c r="G35" s="84">
        <f t="shared" si="0"/>
        <v>0</v>
      </c>
      <c r="H35" s="85"/>
      <c r="I35" s="84">
        <f t="shared" si="2"/>
        <v>0</v>
      </c>
      <c r="J35" s="85"/>
    </row>
    <row r="36" spans="1:11" s="68" customFormat="1" ht="30.75" customHeight="1">
      <c r="A36" s="100" t="s">
        <v>26</v>
      </c>
      <c r="B36" s="101" t="s">
        <v>198</v>
      </c>
      <c r="C36" s="102">
        <f>C37+C39</f>
        <v>12253</v>
      </c>
      <c r="D36" s="102">
        <f>D37+D39</f>
        <v>12253</v>
      </c>
      <c r="E36" s="102">
        <f>E37+E39</f>
        <v>8098</v>
      </c>
      <c r="F36" s="102">
        <f>F37+F39</f>
        <v>8098</v>
      </c>
      <c r="G36" s="79">
        <f t="shared" si="0"/>
        <v>-4155</v>
      </c>
      <c r="H36" s="81">
        <f t="shared" si="1"/>
        <v>0.66089937158246959</v>
      </c>
      <c r="I36" s="79">
        <f t="shared" si="2"/>
        <v>-4155</v>
      </c>
      <c r="J36" s="81">
        <f t="shared" si="3"/>
        <v>0.66089937158246959</v>
      </c>
    </row>
    <row r="37" spans="1:11" s="66" customFormat="1" ht="21.75" customHeight="1">
      <c r="A37" s="400">
        <v>1</v>
      </c>
      <c r="B37" s="401" t="s">
        <v>200</v>
      </c>
      <c r="C37" s="32">
        <f>SUM(C38:C38)</f>
        <v>90</v>
      </c>
      <c r="D37" s="32">
        <f>SUM(D38:D38)</f>
        <v>90</v>
      </c>
      <c r="E37" s="32">
        <f>SUM(E38:E38)</f>
        <v>120</v>
      </c>
      <c r="F37" s="32">
        <f>SUM(F38:F38)</f>
        <v>120</v>
      </c>
      <c r="G37" s="84">
        <f t="shared" si="0"/>
        <v>30</v>
      </c>
      <c r="H37" s="85">
        <f t="shared" si="1"/>
        <v>1.3333333333333333</v>
      </c>
      <c r="I37" s="84">
        <f t="shared" si="2"/>
        <v>30</v>
      </c>
      <c r="J37" s="85">
        <f t="shared" si="3"/>
        <v>1.3333333333333333</v>
      </c>
    </row>
    <row r="38" spans="1:11" s="66" customFormat="1" ht="30" customHeight="1">
      <c r="A38" s="86" t="s">
        <v>20</v>
      </c>
      <c r="B38" s="104" t="s">
        <v>202</v>
      </c>
      <c r="C38" s="32">
        <v>90</v>
      </c>
      <c r="D38" s="32">
        <v>90</v>
      </c>
      <c r="E38" s="32">
        <v>120</v>
      </c>
      <c r="F38" s="32">
        <v>120</v>
      </c>
      <c r="G38" s="84">
        <f t="shared" si="0"/>
        <v>30</v>
      </c>
      <c r="H38" s="85">
        <f t="shared" si="1"/>
        <v>1.3333333333333333</v>
      </c>
      <c r="I38" s="84">
        <f t="shared" si="2"/>
        <v>30</v>
      </c>
      <c r="J38" s="85">
        <f t="shared" si="3"/>
        <v>1.3333333333333333</v>
      </c>
    </row>
    <row r="39" spans="1:11" s="68" customFormat="1" ht="21.75" customHeight="1">
      <c r="A39" s="77">
        <v>2</v>
      </c>
      <c r="B39" s="78" t="s">
        <v>204</v>
      </c>
      <c r="C39" s="80">
        <f>SUM(C40:C55)</f>
        <v>12163</v>
      </c>
      <c r="D39" s="80">
        <f>SUM(D40:D55)</f>
        <v>12163</v>
      </c>
      <c r="E39" s="80">
        <f>SUM(E40:E55)</f>
        <v>7978</v>
      </c>
      <c r="F39" s="80">
        <f>SUM(F40:F55)</f>
        <v>7978</v>
      </c>
      <c r="G39" s="79">
        <f t="shared" si="0"/>
        <v>-4185</v>
      </c>
      <c r="H39" s="81">
        <f t="shared" si="1"/>
        <v>0.65592370303379099</v>
      </c>
      <c r="I39" s="79">
        <f t="shared" si="2"/>
        <v>-4185</v>
      </c>
      <c r="J39" s="81">
        <f t="shared" si="3"/>
        <v>0.65592370303379099</v>
      </c>
    </row>
    <row r="40" spans="1:11" s="66" customFormat="1" ht="21.75" customHeight="1">
      <c r="A40" s="86" t="s">
        <v>20</v>
      </c>
      <c r="B40" s="105" t="s">
        <v>205</v>
      </c>
      <c r="C40" s="32"/>
      <c r="D40" s="32"/>
      <c r="E40" s="32"/>
      <c r="F40" s="32"/>
      <c r="G40" s="84">
        <f t="shared" si="0"/>
        <v>0</v>
      </c>
      <c r="H40" s="85"/>
      <c r="I40" s="84">
        <f t="shared" si="2"/>
        <v>0</v>
      </c>
      <c r="J40" s="85"/>
      <c r="K40" s="70"/>
    </row>
    <row r="41" spans="1:11" s="66" customFormat="1" ht="21.75" customHeight="1">
      <c r="A41" s="86" t="s">
        <v>20</v>
      </c>
      <c r="B41" s="105" t="s">
        <v>520</v>
      </c>
      <c r="C41" s="32"/>
      <c r="D41" s="32"/>
      <c r="E41" s="32">
        <v>2500</v>
      </c>
      <c r="F41" s="32">
        <v>2500</v>
      </c>
      <c r="G41" s="84">
        <f t="shared" si="0"/>
        <v>2500</v>
      </c>
      <c r="H41" s="85"/>
      <c r="I41" s="84">
        <f t="shared" si="2"/>
        <v>2500</v>
      </c>
      <c r="J41" s="85"/>
    </row>
    <row r="42" spans="1:11" s="66" customFormat="1" ht="21.75" customHeight="1">
      <c r="A42" s="86" t="s">
        <v>20</v>
      </c>
      <c r="B42" s="106" t="s">
        <v>521</v>
      </c>
      <c r="C42" s="32">
        <v>2330</v>
      </c>
      <c r="D42" s="32">
        <v>2330</v>
      </c>
      <c r="E42" s="32">
        <v>2330</v>
      </c>
      <c r="F42" s="32">
        <v>2330</v>
      </c>
      <c r="G42" s="84">
        <f t="shared" si="0"/>
        <v>0</v>
      </c>
      <c r="H42" s="85">
        <f t="shared" si="1"/>
        <v>1</v>
      </c>
      <c r="I42" s="84">
        <f t="shared" si="2"/>
        <v>0</v>
      </c>
      <c r="J42" s="85">
        <f t="shared" si="3"/>
        <v>1</v>
      </c>
    </row>
    <row r="43" spans="1:11" s="66" customFormat="1" ht="45">
      <c r="A43" s="86" t="s">
        <v>20</v>
      </c>
      <c r="B43" s="107" t="s">
        <v>387</v>
      </c>
      <c r="C43" s="32">
        <v>770</v>
      </c>
      <c r="D43" s="32">
        <v>770</v>
      </c>
      <c r="E43" s="32">
        <v>770</v>
      </c>
      <c r="F43" s="32">
        <v>770</v>
      </c>
      <c r="G43" s="84">
        <f t="shared" si="0"/>
        <v>0</v>
      </c>
      <c r="H43" s="85">
        <f t="shared" si="1"/>
        <v>1</v>
      </c>
      <c r="I43" s="84">
        <f t="shared" si="2"/>
        <v>0</v>
      </c>
      <c r="J43" s="85">
        <f t="shared" si="3"/>
        <v>1</v>
      </c>
    </row>
    <row r="44" spans="1:11" s="66" customFormat="1">
      <c r="A44" s="86" t="s">
        <v>20</v>
      </c>
      <c r="B44" s="108" t="s">
        <v>206</v>
      </c>
      <c r="C44" s="32">
        <v>1000</v>
      </c>
      <c r="D44" s="32">
        <v>1000</v>
      </c>
      <c r="E44" s="32">
        <f>1000+827</f>
        <v>1827</v>
      </c>
      <c r="F44" s="32">
        <v>1827</v>
      </c>
      <c r="G44" s="84">
        <f t="shared" si="0"/>
        <v>827</v>
      </c>
      <c r="H44" s="85">
        <f t="shared" si="1"/>
        <v>1.827</v>
      </c>
      <c r="I44" s="84">
        <f t="shared" si="2"/>
        <v>827</v>
      </c>
      <c r="J44" s="85">
        <f t="shared" si="3"/>
        <v>1.827</v>
      </c>
    </row>
    <row r="45" spans="1:11" s="66" customFormat="1" ht="30">
      <c r="A45" s="86" t="s">
        <v>20</v>
      </c>
      <c r="B45" s="108" t="s">
        <v>522</v>
      </c>
      <c r="C45" s="32">
        <v>824</v>
      </c>
      <c r="D45" s="32">
        <v>824</v>
      </c>
      <c r="E45" s="32"/>
      <c r="F45" s="32"/>
      <c r="G45" s="84">
        <f t="shared" si="0"/>
        <v>-824</v>
      </c>
      <c r="H45" s="85">
        <f t="shared" si="1"/>
        <v>0</v>
      </c>
      <c r="I45" s="84">
        <f t="shared" si="2"/>
        <v>-824</v>
      </c>
      <c r="J45" s="85">
        <f t="shared" si="3"/>
        <v>0</v>
      </c>
    </row>
    <row r="46" spans="1:11" s="66" customFormat="1">
      <c r="A46" s="86" t="s">
        <v>20</v>
      </c>
      <c r="B46" s="109" t="s">
        <v>207</v>
      </c>
      <c r="C46" s="32">
        <v>539</v>
      </c>
      <c r="D46" s="32">
        <v>539</v>
      </c>
      <c r="E46" s="32"/>
      <c r="F46" s="32"/>
      <c r="G46" s="84">
        <f t="shared" si="0"/>
        <v>-539</v>
      </c>
      <c r="H46" s="85">
        <f t="shared" si="1"/>
        <v>0</v>
      </c>
      <c r="I46" s="84">
        <f t="shared" si="2"/>
        <v>-539</v>
      </c>
      <c r="J46" s="85">
        <f t="shared" si="3"/>
        <v>0</v>
      </c>
    </row>
    <row r="47" spans="1:11" s="66" customFormat="1">
      <c r="A47" s="86" t="s">
        <v>20</v>
      </c>
      <c r="B47" s="109" t="s">
        <v>523</v>
      </c>
      <c r="C47" s="32">
        <v>350</v>
      </c>
      <c r="D47" s="32">
        <v>350</v>
      </c>
      <c r="E47" s="32"/>
      <c r="F47" s="32"/>
      <c r="G47" s="84">
        <f t="shared" si="0"/>
        <v>-350</v>
      </c>
      <c r="H47" s="85">
        <f t="shared" si="1"/>
        <v>0</v>
      </c>
      <c r="I47" s="84">
        <f t="shared" si="2"/>
        <v>-350</v>
      </c>
      <c r="J47" s="85">
        <f t="shared" si="3"/>
        <v>0</v>
      </c>
    </row>
    <row r="48" spans="1:11" s="66" customFormat="1" ht="30">
      <c r="A48" s="86" t="s">
        <v>20</v>
      </c>
      <c r="B48" s="110" t="s">
        <v>524</v>
      </c>
      <c r="C48" s="32">
        <v>200</v>
      </c>
      <c r="D48" s="32">
        <v>200</v>
      </c>
      <c r="E48" s="32"/>
      <c r="F48" s="32"/>
      <c r="G48" s="84">
        <f t="shared" si="0"/>
        <v>-200</v>
      </c>
      <c r="H48" s="85">
        <f t="shared" si="1"/>
        <v>0</v>
      </c>
      <c r="I48" s="84">
        <f t="shared" si="2"/>
        <v>-200</v>
      </c>
      <c r="J48" s="85">
        <f t="shared" si="3"/>
        <v>0</v>
      </c>
    </row>
    <row r="49" spans="1:10" s="66" customFormat="1">
      <c r="A49" s="86" t="s">
        <v>20</v>
      </c>
      <c r="B49" s="110" t="s">
        <v>525</v>
      </c>
      <c r="C49" s="32">
        <v>800</v>
      </c>
      <c r="D49" s="32">
        <v>800</v>
      </c>
      <c r="E49" s="32"/>
      <c r="F49" s="32"/>
      <c r="G49" s="84">
        <f t="shared" si="0"/>
        <v>-800</v>
      </c>
      <c r="H49" s="85">
        <f t="shared" si="1"/>
        <v>0</v>
      </c>
      <c r="I49" s="84">
        <f t="shared" si="2"/>
        <v>-800</v>
      </c>
      <c r="J49" s="85">
        <f t="shared" si="3"/>
        <v>0</v>
      </c>
    </row>
    <row r="50" spans="1:10" s="66" customFormat="1" ht="30">
      <c r="A50" s="86" t="s">
        <v>20</v>
      </c>
      <c r="B50" s="111" t="s">
        <v>526</v>
      </c>
      <c r="C50" s="32">
        <v>1100</v>
      </c>
      <c r="D50" s="32">
        <v>1100</v>
      </c>
      <c r="E50" s="32">
        <v>500</v>
      </c>
      <c r="F50" s="32">
        <v>500</v>
      </c>
      <c r="G50" s="84">
        <f t="shared" si="0"/>
        <v>-600</v>
      </c>
      <c r="H50" s="85">
        <f t="shared" si="1"/>
        <v>0.45454545454545453</v>
      </c>
      <c r="I50" s="84">
        <f t="shared" si="2"/>
        <v>-600</v>
      </c>
      <c r="J50" s="85">
        <f t="shared" si="3"/>
        <v>0.45454545454545453</v>
      </c>
    </row>
    <row r="51" spans="1:10" s="66" customFormat="1">
      <c r="A51" s="86" t="s">
        <v>20</v>
      </c>
      <c r="B51" s="112" t="s">
        <v>208</v>
      </c>
      <c r="C51" s="32">
        <v>2000</v>
      </c>
      <c r="D51" s="32">
        <v>2000</v>
      </c>
      <c r="E51" s="32"/>
      <c r="F51" s="32"/>
      <c r="G51" s="84">
        <f t="shared" si="0"/>
        <v>-2000</v>
      </c>
      <c r="H51" s="85">
        <f t="shared" si="1"/>
        <v>0</v>
      </c>
      <c r="I51" s="84">
        <f t="shared" si="2"/>
        <v>-2000</v>
      </c>
      <c r="J51" s="85">
        <f t="shared" si="3"/>
        <v>0</v>
      </c>
    </row>
    <row r="52" spans="1:10" s="66" customFormat="1">
      <c r="A52" s="86" t="s">
        <v>20</v>
      </c>
      <c r="B52" s="104" t="s">
        <v>209</v>
      </c>
      <c r="C52" s="32">
        <v>500</v>
      </c>
      <c r="D52" s="32">
        <v>500</v>
      </c>
      <c r="E52" s="32"/>
      <c r="F52" s="32"/>
      <c r="G52" s="84">
        <f t="shared" si="0"/>
        <v>-500</v>
      </c>
      <c r="H52" s="85">
        <f t="shared" si="1"/>
        <v>0</v>
      </c>
      <c r="I52" s="84">
        <f t="shared" si="2"/>
        <v>-500</v>
      </c>
      <c r="J52" s="85">
        <f t="shared" si="3"/>
        <v>0</v>
      </c>
    </row>
    <row r="53" spans="1:10" s="66" customFormat="1" ht="30">
      <c r="A53" s="86" t="s">
        <v>20</v>
      </c>
      <c r="B53" s="111" t="s">
        <v>210</v>
      </c>
      <c r="C53" s="32">
        <v>1690</v>
      </c>
      <c r="D53" s="32">
        <v>1690</v>
      </c>
      <c r="E53" s="32"/>
      <c r="F53" s="32"/>
      <c r="G53" s="84">
        <f t="shared" si="0"/>
        <v>-1690</v>
      </c>
      <c r="H53" s="85">
        <f t="shared" si="1"/>
        <v>0</v>
      </c>
      <c r="I53" s="84">
        <f t="shared" si="2"/>
        <v>-1690</v>
      </c>
      <c r="J53" s="85">
        <f t="shared" si="3"/>
        <v>0</v>
      </c>
    </row>
    <row r="54" spans="1:10" s="66" customFormat="1" ht="30">
      <c r="A54" s="86" t="s">
        <v>20</v>
      </c>
      <c r="B54" s="104" t="s">
        <v>527</v>
      </c>
      <c r="C54" s="32">
        <v>60</v>
      </c>
      <c r="D54" s="32">
        <v>60</v>
      </c>
      <c r="E54" s="32"/>
      <c r="F54" s="32"/>
      <c r="G54" s="84">
        <f t="shared" si="0"/>
        <v>-60</v>
      </c>
      <c r="H54" s="85">
        <f t="shared" si="1"/>
        <v>0</v>
      </c>
      <c r="I54" s="84">
        <f t="shared" si="2"/>
        <v>-60</v>
      </c>
      <c r="J54" s="85">
        <f t="shared" si="3"/>
        <v>0</v>
      </c>
    </row>
    <row r="55" spans="1:10" s="66" customFormat="1">
      <c r="A55" s="86" t="s">
        <v>20</v>
      </c>
      <c r="B55" s="111" t="s">
        <v>528</v>
      </c>
      <c r="C55" s="32"/>
      <c r="D55" s="32"/>
      <c r="E55" s="32">
        <v>51</v>
      </c>
      <c r="F55" s="32">
        <v>51</v>
      </c>
      <c r="G55" s="84">
        <f t="shared" si="0"/>
        <v>51</v>
      </c>
      <c r="H55" s="85"/>
      <c r="I55" s="84">
        <f t="shared" si="2"/>
        <v>51</v>
      </c>
      <c r="J55" s="85"/>
    </row>
    <row r="56" spans="1:10" s="68" customFormat="1" ht="28.5">
      <c r="A56" s="77">
        <v>3</v>
      </c>
      <c r="B56" s="78" t="s">
        <v>211</v>
      </c>
      <c r="C56" s="80">
        <f>C57+C72</f>
        <v>20918</v>
      </c>
      <c r="D56" s="80">
        <f>D57+D72</f>
        <v>20918</v>
      </c>
      <c r="E56" s="80">
        <f>E57+E72</f>
        <v>0</v>
      </c>
      <c r="F56" s="80">
        <f>F57+F72</f>
        <v>0</v>
      </c>
      <c r="G56" s="84">
        <f t="shared" si="0"/>
        <v>-20918</v>
      </c>
      <c r="H56" s="85">
        <f t="shared" si="1"/>
        <v>0</v>
      </c>
      <c r="I56" s="84">
        <f t="shared" si="2"/>
        <v>-20918</v>
      </c>
      <c r="J56" s="85">
        <f t="shared" si="3"/>
        <v>0</v>
      </c>
    </row>
    <row r="57" spans="1:10" s="66" customFormat="1">
      <c r="A57" s="103" t="s">
        <v>212</v>
      </c>
      <c r="B57" s="87" t="s">
        <v>213</v>
      </c>
      <c r="C57" s="32">
        <f>C58+C61+C62+C63+C64+C65+C68</f>
        <v>7669</v>
      </c>
      <c r="D57" s="32">
        <f>D58+D61+D62+D63+D64+D65+D68</f>
        <v>7669</v>
      </c>
      <c r="E57" s="32">
        <f>E58+E61+E62+E63+E64+E65+E68</f>
        <v>0</v>
      </c>
      <c r="F57" s="32">
        <f>F58+F61+F62+F63+F64+F65+F68</f>
        <v>0</v>
      </c>
      <c r="G57" s="84">
        <f t="shared" si="0"/>
        <v>-7669</v>
      </c>
      <c r="H57" s="85">
        <f t="shared" si="1"/>
        <v>0</v>
      </c>
      <c r="I57" s="84">
        <f t="shared" si="2"/>
        <v>-7669</v>
      </c>
      <c r="J57" s="85">
        <f t="shared" si="3"/>
        <v>0</v>
      </c>
    </row>
    <row r="58" spans="1:10" s="66" customFormat="1">
      <c r="A58" s="86" t="s">
        <v>20</v>
      </c>
      <c r="B58" s="109" t="s">
        <v>214</v>
      </c>
      <c r="C58" s="113">
        <f>SUM(C59:C60)</f>
        <v>2533</v>
      </c>
      <c r="D58" s="113">
        <f>SUM(D59:D60)</f>
        <v>2533</v>
      </c>
      <c r="E58" s="113">
        <f>SUM(E59:E60)</f>
        <v>0</v>
      </c>
      <c r="F58" s="113">
        <f>SUM(F59:F60)</f>
        <v>0</v>
      </c>
      <c r="G58" s="84">
        <f t="shared" si="0"/>
        <v>-2533</v>
      </c>
      <c r="H58" s="85">
        <f t="shared" si="1"/>
        <v>0</v>
      </c>
      <c r="I58" s="84">
        <f t="shared" si="2"/>
        <v>-2533</v>
      </c>
      <c r="J58" s="85">
        <f t="shared" si="3"/>
        <v>0</v>
      </c>
    </row>
    <row r="59" spans="1:10" s="66" customFormat="1" ht="30">
      <c r="A59" s="86" t="s">
        <v>195</v>
      </c>
      <c r="B59" s="109" t="s">
        <v>529</v>
      </c>
      <c r="C59" s="114">
        <f>2533</f>
        <v>2533</v>
      </c>
      <c r="D59" s="99">
        <f>2533</f>
        <v>2533</v>
      </c>
      <c r="E59" s="99"/>
      <c r="F59" s="99"/>
      <c r="G59" s="84">
        <f t="shared" si="0"/>
        <v>-2533</v>
      </c>
      <c r="H59" s="85">
        <f t="shared" si="1"/>
        <v>0</v>
      </c>
      <c r="I59" s="84">
        <f t="shared" si="2"/>
        <v>-2533</v>
      </c>
      <c r="J59" s="85">
        <f t="shared" si="3"/>
        <v>0</v>
      </c>
    </row>
    <row r="60" spans="1:10" s="66" customFormat="1" ht="45">
      <c r="A60" s="86" t="s">
        <v>195</v>
      </c>
      <c r="B60" s="115" t="s">
        <v>215</v>
      </c>
      <c r="C60" s="32"/>
      <c r="D60" s="32"/>
      <c r="E60" s="32"/>
      <c r="F60" s="32"/>
      <c r="G60" s="84">
        <f t="shared" si="0"/>
        <v>0</v>
      </c>
      <c r="H60" s="85"/>
      <c r="I60" s="84">
        <f t="shared" si="2"/>
        <v>0</v>
      </c>
      <c r="J60" s="85"/>
    </row>
    <row r="61" spans="1:10" s="66" customFormat="1">
      <c r="A61" s="86" t="s">
        <v>20</v>
      </c>
      <c r="B61" s="105" t="s">
        <v>530</v>
      </c>
      <c r="C61" s="32">
        <v>400</v>
      </c>
      <c r="D61" s="32">
        <v>400</v>
      </c>
      <c r="E61" s="32"/>
      <c r="F61" s="32"/>
      <c r="G61" s="84">
        <f t="shared" si="0"/>
        <v>-400</v>
      </c>
      <c r="H61" s="85">
        <f t="shared" si="1"/>
        <v>0</v>
      </c>
      <c r="I61" s="84">
        <f t="shared" si="2"/>
        <v>-400</v>
      </c>
      <c r="J61" s="85">
        <f t="shared" si="3"/>
        <v>0</v>
      </c>
    </row>
    <row r="62" spans="1:10" s="66" customFormat="1">
      <c r="A62" s="86" t="s">
        <v>20</v>
      </c>
      <c r="B62" s="105" t="s">
        <v>217</v>
      </c>
      <c r="C62" s="116">
        <v>228</v>
      </c>
      <c r="D62" s="117">
        <v>228</v>
      </c>
      <c r="E62" s="117"/>
      <c r="F62" s="117"/>
      <c r="G62" s="84">
        <f t="shared" si="0"/>
        <v>-228</v>
      </c>
      <c r="H62" s="85">
        <f t="shared" si="1"/>
        <v>0</v>
      </c>
      <c r="I62" s="84">
        <f t="shared" si="2"/>
        <v>-228</v>
      </c>
      <c r="J62" s="85">
        <f t="shared" si="3"/>
        <v>0</v>
      </c>
    </row>
    <row r="63" spans="1:10" s="66" customFormat="1" ht="30">
      <c r="A63" s="86" t="s">
        <v>20</v>
      </c>
      <c r="B63" s="111" t="s">
        <v>531</v>
      </c>
      <c r="C63" s="116">
        <v>423</v>
      </c>
      <c r="D63" s="117">
        <v>423</v>
      </c>
      <c r="E63" s="117"/>
      <c r="F63" s="117"/>
      <c r="G63" s="84">
        <f t="shared" si="0"/>
        <v>-423</v>
      </c>
      <c r="H63" s="85">
        <f t="shared" si="1"/>
        <v>0</v>
      </c>
      <c r="I63" s="84">
        <f t="shared" si="2"/>
        <v>-423</v>
      </c>
      <c r="J63" s="85">
        <f t="shared" si="3"/>
        <v>0</v>
      </c>
    </row>
    <row r="64" spans="1:10" s="66" customFormat="1">
      <c r="A64" s="86" t="s">
        <v>20</v>
      </c>
      <c r="B64" s="106" t="s">
        <v>218</v>
      </c>
      <c r="C64" s="116">
        <v>2044</v>
      </c>
      <c r="D64" s="117">
        <v>2044</v>
      </c>
      <c r="E64" s="117"/>
      <c r="F64" s="117"/>
      <c r="G64" s="84">
        <f t="shared" si="0"/>
        <v>-2044</v>
      </c>
      <c r="H64" s="85">
        <f t="shared" si="1"/>
        <v>0</v>
      </c>
      <c r="I64" s="84">
        <f t="shared" si="2"/>
        <v>-2044</v>
      </c>
      <c r="J64" s="85">
        <f t="shared" si="3"/>
        <v>0</v>
      </c>
    </row>
    <row r="65" spans="1:10" s="66" customFormat="1" ht="60">
      <c r="A65" s="86" t="s">
        <v>20</v>
      </c>
      <c r="B65" s="109" t="s">
        <v>219</v>
      </c>
      <c r="C65" s="113">
        <f>SUM(C66:C67)</f>
        <v>314</v>
      </c>
      <c r="D65" s="113">
        <f>SUM(D66:D67)</f>
        <v>314</v>
      </c>
      <c r="E65" s="113">
        <f>SUM(E66:E67)</f>
        <v>0</v>
      </c>
      <c r="F65" s="113">
        <f>SUM(F66:F67)</f>
        <v>0</v>
      </c>
      <c r="G65" s="84">
        <f t="shared" si="0"/>
        <v>-314</v>
      </c>
      <c r="H65" s="85">
        <f t="shared" si="1"/>
        <v>0</v>
      </c>
      <c r="I65" s="84">
        <f t="shared" si="2"/>
        <v>-314</v>
      </c>
      <c r="J65" s="85">
        <f t="shared" si="3"/>
        <v>0</v>
      </c>
    </row>
    <row r="66" spans="1:10" s="66" customFormat="1" ht="30">
      <c r="A66" s="86" t="s">
        <v>195</v>
      </c>
      <c r="B66" s="109" t="s">
        <v>220</v>
      </c>
      <c r="C66" s="32">
        <v>200</v>
      </c>
      <c r="D66" s="32">
        <v>200</v>
      </c>
      <c r="E66" s="32"/>
      <c r="F66" s="32"/>
      <c r="G66" s="84">
        <f t="shared" si="0"/>
        <v>-200</v>
      </c>
      <c r="H66" s="85">
        <f t="shared" si="1"/>
        <v>0</v>
      </c>
      <c r="I66" s="84">
        <f t="shared" si="2"/>
        <v>-200</v>
      </c>
      <c r="J66" s="85">
        <f t="shared" si="3"/>
        <v>0</v>
      </c>
    </row>
    <row r="67" spans="1:10" s="66" customFormat="1" ht="30">
      <c r="A67" s="86" t="s">
        <v>195</v>
      </c>
      <c r="B67" s="109" t="s">
        <v>221</v>
      </c>
      <c r="C67" s="32">
        <v>114</v>
      </c>
      <c r="D67" s="32">
        <v>114</v>
      </c>
      <c r="E67" s="32"/>
      <c r="F67" s="32"/>
      <c r="G67" s="84">
        <f t="shared" si="0"/>
        <v>-114</v>
      </c>
      <c r="H67" s="85">
        <f t="shared" si="1"/>
        <v>0</v>
      </c>
      <c r="I67" s="84">
        <f t="shared" si="2"/>
        <v>-114</v>
      </c>
      <c r="J67" s="85">
        <f t="shared" si="3"/>
        <v>0</v>
      </c>
    </row>
    <row r="68" spans="1:10" s="66" customFormat="1" ht="90">
      <c r="A68" s="86" t="s">
        <v>20</v>
      </c>
      <c r="B68" s="109" t="s">
        <v>222</v>
      </c>
      <c r="C68" s="113">
        <f>SUM(C69:C71)</f>
        <v>1727</v>
      </c>
      <c r="D68" s="113">
        <f>SUM(D69:D71)</f>
        <v>1727</v>
      </c>
      <c r="E68" s="113">
        <f>SUM(E69:E71)</f>
        <v>0</v>
      </c>
      <c r="F68" s="113">
        <f>SUM(F69:F71)</f>
        <v>0</v>
      </c>
      <c r="G68" s="84">
        <f t="shared" si="0"/>
        <v>-1727</v>
      </c>
      <c r="H68" s="85">
        <f t="shared" si="1"/>
        <v>0</v>
      </c>
      <c r="I68" s="84">
        <f t="shared" si="2"/>
        <v>-1727</v>
      </c>
      <c r="J68" s="85">
        <f t="shared" si="3"/>
        <v>0</v>
      </c>
    </row>
    <row r="69" spans="1:10" s="66" customFormat="1" ht="30">
      <c r="A69" s="86" t="s">
        <v>195</v>
      </c>
      <c r="B69" s="109" t="s">
        <v>223</v>
      </c>
      <c r="C69" s="32">
        <v>1140</v>
      </c>
      <c r="D69" s="32">
        <v>1140</v>
      </c>
      <c r="E69" s="32"/>
      <c r="F69" s="32"/>
      <c r="G69" s="84">
        <f t="shared" si="0"/>
        <v>-1140</v>
      </c>
      <c r="H69" s="85">
        <f t="shared" si="1"/>
        <v>0</v>
      </c>
      <c r="I69" s="84">
        <f t="shared" si="2"/>
        <v>-1140</v>
      </c>
      <c r="J69" s="85">
        <f t="shared" si="3"/>
        <v>0</v>
      </c>
    </row>
    <row r="70" spans="1:10" s="66" customFormat="1" ht="30">
      <c r="A70" s="86" t="s">
        <v>195</v>
      </c>
      <c r="B70" s="109" t="s">
        <v>224</v>
      </c>
      <c r="C70" s="32">
        <v>508</v>
      </c>
      <c r="D70" s="32">
        <v>508</v>
      </c>
      <c r="E70" s="32"/>
      <c r="F70" s="32"/>
      <c r="G70" s="84">
        <f t="shared" si="0"/>
        <v>-508</v>
      </c>
      <c r="H70" s="85">
        <f t="shared" si="1"/>
        <v>0</v>
      </c>
      <c r="I70" s="84">
        <f t="shared" si="2"/>
        <v>-508</v>
      </c>
      <c r="J70" s="85">
        <f t="shared" si="3"/>
        <v>0</v>
      </c>
    </row>
    <row r="71" spans="1:10" s="66" customFormat="1" ht="30">
      <c r="A71" s="86" t="s">
        <v>195</v>
      </c>
      <c r="B71" s="109" t="s">
        <v>226</v>
      </c>
      <c r="C71" s="32">
        <v>79</v>
      </c>
      <c r="D71" s="32">
        <v>79</v>
      </c>
      <c r="E71" s="32"/>
      <c r="F71" s="32"/>
      <c r="G71" s="84">
        <f t="shared" si="0"/>
        <v>-79</v>
      </c>
      <c r="H71" s="85">
        <f t="shared" si="1"/>
        <v>0</v>
      </c>
      <c r="I71" s="84">
        <f t="shared" si="2"/>
        <v>-79</v>
      </c>
      <c r="J71" s="85">
        <f t="shared" si="3"/>
        <v>0</v>
      </c>
    </row>
    <row r="72" spans="1:10" s="66" customFormat="1">
      <c r="A72" s="103" t="s">
        <v>230</v>
      </c>
      <c r="B72" s="87" t="s">
        <v>231</v>
      </c>
      <c r="C72" s="32">
        <f t="shared" ref="C72:F72" si="6">SUM(C73:C86)</f>
        <v>13249</v>
      </c>
      <c r="D72" s="32">
        <f t="shared" si="6"/>
        <v>13249</v>
      </c>
      <c r="E72" s="32">
        <f t="shared" si="6"/>
        <v>0</v>
      </c>
      <c r="F72" s="32">
        <f t="shared" si="6"/>
        <v>0</v>
      </c>
      <c r="G72" s="84">
        <f t="shared" si="0"/>
        <v>-13249</v>
      </c>
      <c r="H72" s="85">
        <f t="shared" si="1"/>
        <v>0</v>
      </c>
      <c r="I72" s="84">
        <f t="shared" si="2"/>
        <v>-13249</v>
      </c>
      <c r="J72" s="85">
        <f t="shared" si="3"/>
        <v>0</v>
      </c>
    </row>
    <row r="73" spans="1:10" s="66" customFormat="1" ht="30">
      <c r="A73" s="86" t="s">
        <v>20</v>
      </c>
      <c r="B73" s="109" t="s">
        <v>232</v>
      </c>
      <c r="C73" s="32">
        <v>700</v>
      </c>
      <c r="D73" s="32">
        <v>700</v>
      </c>
      <c r="E73" s="32"/>
      <c r="F73" s="32"/>
      <c r="G73" s="84">
        <f t="shared" si="0"/>
        <v>-700</v>
      </c>
      <c r="H73" s="85">
        <f t="shared" si="1"/>
        <v>0</v>
      </c>
      <c r="I73" s="84">
        <f t="shared" si="2"/>
        <v>-700</v>
      </c>
      <c r="J73" s="85">
        <f t="shared" si="3"/>
        <v>0</v>
      </c>
    </row>
    <row r="74" spans="1:10" s="66" customFormat="1" ht="30">
      <c r="A74" s="86" t="s">
        <v>20</v>
      </c>
      <c r="B74" s="111" t="s">
        <v>530</v>
      </c>
      <c r="C74" s="32">
        <v>720</v>
      </c>
      <c r="D74" s="32">
        <v>720</v>
      </c>
      <c r="E74" s="32"/>
      <c r="F74" s="32"/>
      <c r="G74" s="84">
        <f t="shared" ref="G74:G88" si="7">E74-C74</f>
        <v>-720</v>
      </c>
      <c r="H74" s="85">
        <f t="shared" ref="H74:H86" si="8">E74/C74</f>
        <v>0</v>
      </c>
      <c r="I74" s="84">
        <f t="shared" ref="I74:I88" si="9">F74-D74</f>
        <v>-720</v>
      </c>
      <c r="J74" s="85">
        <f t="shared" ref="J74:J86" si="10">F74/D74</f>
        <v>0</v>
      </c>
    </row>
    <row r="75" spans="1:10" s="66" customFormat="1" ht="30">
      <c r="A75" s="86" t="s">
        <v>20</v>
      </c>
      <c r="B75" s="111" t="s">
        <v>216</v>
      </c>
      <c r="C75" s="32"/>
      <c r="D75" s="32"/>
      <c r="E75" s="32"/>
      <c r="F75" s="32"/>
      <c r="G75" s="84">
        <f t="shared" si="7"/>
        <v>0</v>
      </c>
      <c r="H75" s="85"/>
      <c r="I75" s="84">
        <f t="shared" si="9"/>
        <v>0</v>
      </c>
      <c r="J75" s="85"/>
    </row>
    <row r="76" spans="1:10" s="66" customFormat="1" ht="30">
      <c r="A76" s="86" t="s">
        <v>20</v>
      </c>
      <c r="B76" s="111" t="s">
        <v>233</v>
      </c>
      <c r="C76" s="32">
        <v>72</v>
      </c>
      <c r="D76" s="32">
        <v>72</v>
      </c>
      <c r="E76" s="32"/>
      <c r="F76" s="32"/>
      <c r="G76" s="84">
        <f t="shared" si="7"/>
        <v>-72</v>
      </c>
      <c r="H76" s="85">
        <f t="shared" si="8"/>
        <v>0</v>
      </c>
      <c r="I76" s="84">
        <f t="shared" si="9"/>
        <v>-72</v>
      </c>
      <c r="J76" s="85">
        <f t="shared" si="10"/>
        <v>0</v>
      </c>
    </row>
    <row r="77" spans="1:10" s="66" customFormat="1" ht="30">
      <c r="A77" s="86" t="s">
        <v>20</v>
      </c>
      <c r="B77" s="109" t="s">
        <v>223</v>
      </c>
      <c r="C77" s="32">
        <v>969</v>
      </c>
      <c r="D77" s="32">
        <v>969</v>
      </c>
      <c r="E77" s="32"/>
      <c r="F77" s="32"/>
      <c r="G77" s="84">
        <f t="shared" si="7"/>
        <v>-969</v>
      </c>
      <c r="H77" s="85">
        <f t="shared" si="8"/>
        <v>0</v>
      </c>
      <c r="I77" s="84">
        <f t="shared" si="9"/>
        <v>-969</v>
      </c>
      <c r="J77" s="85">
        <f t="shared" si="10"/>
        <v>0</v>
      </c>
    </row>
    <row r="78" spans="1:10" s="66" customFormat="1" ht="30">
      <c r="A78" s="86" t="s">
        <v>20</v>
      </c>
      <c r="B78" s="104" t="s">
        <v>234</v>
      </c>
      <c r="C78" s="118"/>
      <c r="D78" s="118"/>
      <c r="E78" s="118"/>
      <c r="F78" s="118"/>
      <c r="G78" s="84">
        <f t="shared" si="7"/>
        <v>0</v>
      </c>
      <c r="H78" s="85"/>
      <c r="I78" s="84">
        <f t="shared" si="9"/>
        <v>0</v>
      </c>
      <c r="J78" s="85"/>
    </row>
    <row r="79" spans="1:10" s="66" customFormat="1" ht="30">
      <c r="A79" s="86" t="s">
        <v>20</v>
      </c>
      <c r="B79" s="109" t="s">
        <v>225</v>
      </c>
      <c r="C79" s="32">
        <v>-969</v>
      </c>
      <c r="D79" s="32">
        <v>-969</v>
      </c>
      <c r="E79" s="32"/>
      <c r="F79" s="32"/>
      <c r="G79" s="84">
        <f t="shared" si="7"/>
        <v>969</v>
      </c>
      <c r="H79" s="85">
        <f t="shared" si="8"/>
        <v>0</v>
      </c>
      <c r="I79" s="84">
        <f t="shared" si="9"/>
        <v>969</v>
      </c>
      <c r="J79" s="85">
        <f t="shared" si="10"/>
        <v>0</v>
      </c>
    </row>
    <row r="80" spans="1:10" s="66" customFormat="1" ht="30">
      <c r="A80" s="86" t="s">
        <v>20</v>
      </c>
      <c r="B80" s="104" t="s">
        <v>235</v>
      </c>
      <c r="C80" s="32">
        <v>399</v>
      </c>
      <c r="D80" s="32">
        <v>399</v>
      </c>
      <c r="E80" s="32"/>
      <c r="F80" s="32"/>
      <c r="G80" s="84">
        <f t="shared" si="7"/>
        <v>-399</v>
      </c>
      <c r="H80" s="85">
        <f t="shared" si="8"/>
        <v>0</v>
      </c>
      <c r="I80" s="84">
        <f t="shared" si="9"/>
        <v>-399</v>
      </c>
      <c r="J80" s="85">
        <f t="shared" si="10"/>
        <v>0</v>
      </c>
    </row>
    <row r="81" spans="1:10" s="66" customFormat="1" ht="30">
      <c r="A81" s="86" t="s">
        <v>20</v>
      </c>
      <c r="B81" s="104" t="s">
        <v>236</v>
      </c>
      <c r="C81" s="32">
        <v>155</v>
      </c>
      <c r="D81" s="32">
        <v>155</v>
      </c>
      <c r="E81" s="32"/>
      <c r="F81" s="32"/>
      <c r="G81" s="84">
        <f t="shared" si="7"/>
        <v>-155</v>
      </c>
      <c r="H81" s="85">
        <f t="shared" si="8"/>
        <v>0</v>
      </c>
      <c r="I81" s="84">
        <f t="shared" si="9"/>
        <v>-155</v>
      </c>
      <c r="J81" s="85">
        <f t="shared" si="10"/>
        <v>0</v>
      </c>
    </row>
    <row r="82" spans="1:10" s="66" customFormat="1">
      <c r="A82" s="86" t="s">
        <v>20</v>
      </c>
      <c r="B82" s="87" t="s">
        <v>228</v>
      </c>
      <c r="C82" s="32">
        <v>303</v>
      </c>
      <c r="D82" s="32">
        <v>303</v>
      </c>
      <c r="E82" s="32"/>
      <c r="F82" s="32"/>
      <c r="G82" s="84">
        <f t="shared" si="7"/>
        <v>-303</v>
      </c>
      <c r="H82" s="85">
        <f t="shared" si="8"/>
        <v>0</v>
      </c>
      <c r="I82" s="84">
        <f t="shared" si="9"/>
        <v>-303</v>
      </c>
      <c r="J82" s="85">
        <f t="shared" si="10"/>
        <v>0</v>
      </c>
    </row>
    <row r="83" spans="1:10" s="66" customFormat="1" ht="30">
      <c r="A83" s="86" t="s">
        <v>20</v>
      </c>
      <c r="B83" s="104" t="s">
        <v>229</v>
      </c>
      <c r="C83" s="32">
        <v>221</v>
      </c>
      <c r="D83" s="32">
        <v>221</v>
      </c>
      <c r="E83" s="32"/>
      <c r="F83" s="32"/>
      <c r="G83" s="84">
        <f t="shared" si="7"/>
        <v>-221</v>
      </c>
      <c r="H83" s="85">
        <f t="shared" si="8"/>
        <v>0</v>
      </c>
      <c r="I83" s="84">
        <f t="shared" si="9"/>
        <v>-221</v>
      </c>
      <c r="J83" s="85">
        <f t="shared" si="10"/>
        <v>0</v>
      </c>
    </row>
    <row r="84" spans="1:10" s="66" customFormat="1" ht="30">
      <c r="A84" s="86" t="s">
        <v>20</v>
      </c>
      <c r="B84" s="104" t="s">
        <v>532</v>
      </c>
      <c r="C84" s="32">
        <v>10377</v>
      </c>
      <c r="D84" s="32">
        <v>10377</v>
      </c>
      <c r="E84" s="32"/>
      <c r="F84" s="32"/>
      <c r="G84" s="84">
        <f t="shared" si="7"/>
        <v>-10377</v>
      </c>
      <c r="H84" s="85">
        <f t="shared" si="8"/>
        <v>0</v>
      </c>
      <c r="I84" s="84">
        <f t="shared" si="9"/>
        <v>-10377</v>
      </c>
      <c r="J84" s="85">
        <f t="shared" si="10"/>
        <v>0</v>
      </c>
    </row>
    <row r="85" spans="1:10" s="66" customFormat="1">
      <c r="A85" s="86" t="s">
        <v>20</v>
      </c>
      <c r="B85" s="87" t="s">
        <v>533</v>
      </c>
      <c r="C85" s="32">
        <f>-56</f>
        <v>-56</v>
      </c>
      <c r="D85" s="32">
        <f>-56</f>
        <v>-56</v>
      </c>
      <c r="E85" s="32"/>
      <c r="F85" s="32"/>
      <c r="G85" s="84">
        <f t="shared" si="7"/>
        <v>56</v>
      </c>
      <c r="H85" s="85">
        <f t="shared" si="8"/>
        <v>0</v>
      </c>
      <c r="I85" s="84">
        <f t="shared" si="9"/>
        <v>56</v>
      </c>
      <c r="J85" s="85">
        <f t="shared" si="10"/>
        <v>0</v>
      </c>
    </row>
    <row r="86" spans="1:10" s="66" customFormat="1">
      <c r="A86" s="86" t="s">
        <v>20</v>
      </c>
      <c r="B86" s="119" t="s">
        <v>534</v>
      </c>
      <c r="C86" s="32">
        <v>358</v>
      </c>
      <c r="D86" s="32">
        <v>358</v>
      </c>
      <c r="E86" s="32"/>
      <c r="F86" s="32"/>
      <c r="G86" s="84">
        <f t="shared" si="7"/>
        <v>-358</v>
      </c>
      <c r="H86" s="85">
        <f t="shared" si="8"/>
        <v>0</v>
      </c>
      <c r="I86" s="84">
        <f t="shared" si="9"/>
        <v>-358</v>
      </c>
      <c r="J86" s="85">
        <f t="shared" si="10"/>
        <v>0</v>
      </c>
    </row>
    <row r="87" spans="1:10" s="66" customFormat="1" ht="28.5" hidden="1">
      <c r="A87" s="77" t="s">
        <v>70</v>
      </c>
      <c r="B87" s="78" t="s">
        <v>237</v>
      </c>
      <c r="C87" s="32"/>
      <c r="D87" s="32"/>
      <c r="E87" s="32"/>
      <c r="F87" s="32"/>
      <c r="G87" s="84">
        <f t="shared" si="7"/>
        <v>0</v>
      </c>
      <c r="H87" s="85"/>
      <c r="I87" s="84">
        <f t="shared" si="9"/>
        <v>0</v>
      </c>
      <c r="J87" s="85"/>
    </row>
    <row r="88" spans="1:10" ht="28.5" hidden="1">
      <c r="A88" s="120" t="s">
        <v>642</v>
      </c>
      <c r="B88" s="121" t="s">
        <v>238</v>
      </c>
      <c r="C88" s="122"/>
      <c r="D88" s="122"/>
      <c r="E88" s="122"/>
      <c r="F88" s="122"/>
      <c r="G88" s="123">
        <f t="shared" si="7"/>
        <v>0</v>
      </c>
      <c r="H88" s="124"/>
      <c r="I88" s="123">
        <f t="shared" si="9"/>
        <v>0</v>
      </c>
      <c r="J88" s="124"/>
    </row>
    <row r="89" spans="1:10" ht="21.75" customHeight="1">
      <c r="C89" s="682"/>
      <c r="D89" s="682"/>
      <c r="E89" s="682"/>
      <c r="F89" s="682"/>
      <c r="G89" s="682"/>
      <c r="H89" s="682"/>
      <c r="I89" s="682"/>
      <c r="J89" s="682"/>
    </row>
  </sheetData>
  <mergeCells count="17">
    <mergeCell ref="F6:F7"/>
    <mergeCell ref="G6:H6"/>
    <mergeCell ref="I6:J6"/>
    <mergeCell ref="A3:J3"/>
    <mergeCell ref="C89:J89"/>
    <mergeCell ref="A1:B1"/>
    <mergeCell ref="F1:J1"/>
    <mergeCell ref="A2:J2"/>
    <mergeCell ref="G4:J4"/>
    <mergeCell ref="A5:A7"/>
    <mergeCell ref="B5:B7"/>
    <mergeCell ref="C5:D5"/>
    <mergeCell ref="E5:F5"/>
    <mergeCell ref="G5:J5"/>
    <mergeCell ref="C6:C7"/>
    <mergeCell ref="D6:D7"/>
    <mergeCell ref="E6:E7"/>
  </mergeCells>
  <pageMargins left="0.43307086614173229" right="0.23622047244094491" top="0.39370078740157483" bottom="0.19685039370078741"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workbookViewId="0">
      <pane xSplit="3" ySplit="9" topLeftCell="D10" activePane="bottomRight" state="frozen"/>
      <selection activeCell="I4" sqref="A4:XFD4"/>
      <selection pane="topRight" activeCell="I4" sqref="A4:XFD4"/>
      <selection pane="bottomLeft" activeCell="I4" sqref="A4:XFD4"/>
      <selection pane="bottomRight" activeCell="B20" sqref="B20"/>
    </sheetView>
  </sheetViews>
  <sheetFormatPr defaultColWidth="9.140625" defaultRowHeight="15"/>
  <cols>
    <col min="1" max="1" width="8.28515625" style="474" customWidth="1"/>
    <col min="2" max="2" width="48.28515625" style="474" customWidth="1"/>
    <col min="3" max="3" width="20.85546875" style="489" hidden="1" customWidth="1"/>
    <col min="4" max="4" width="14" style="489" hidden="1" customWidth="1"/>
    <col min="5" max="5" width="11.28515625" style="490" hidden="1" customWidth="1"/>
    <col min="6" max="6" width="24.7109375" style="474" hidden="1" customWidth="1"/>
    <col min="7" max="7" width="15" style="474" customWidth="1"/>
    <col min="8" max="8" width="16" style="491" customWidth="1"/>
    <col min="9" max="9" width="13.140625" style="474" customWidth="1"/>
    <col min="10" max="19" width="9.140625" style="474"/>
    <col min="20" max="16384" width="9.140625" style="434"/>
  </cols>
  <sheetData>
    <row r="1" spans="1:19" s="472" customFormat="1" ht="15.75">
      <c r="A1" s="514"/>
      <c r="B1" s="514"/>
      <c r="C1" s="489"/>
      <c r="D1" s="489"/>
      <c r="E1" s="699" t="s">
        <v>659</v>
      </c>
      <c r="F1" s="699"/>
      <c r="G1" s="699"/>
      <c r="H1" s="699"/>
      <c r="I1" s="474"/>
      <c r="J1" s="474"/>
      <c r="K1" s="474"/>
      <c r="L1" s="474"/>
      <c r="M1" s="474"/>
      <c r="N1" s="474"/>
      <c r="O1" s="474"/>
      <c r="P1" s="474"/>
      <c r="Q1" s="474"/>
      <c r="R1" s="474"/>
      <c r="S1" s="474"/>
    </row>
    <row r="2" spans="1:19">
      <c r="A2" s="473"/>
    </row>
    <row r="3" spans="1:19" ht="18.75">
      <c r="A3" s="700" t="s">
        <v>416</v>
      </c>
      <c r="B3" s="700"/>
      <c r="C3" s="700"/>
      <c r="D3" s="700"/>
      <c r="E3" s="700"/>
      <c r="F3" s="700"/>
      <c r="G3" s="700"/>
      <c r="H3" s="700"/>
    </row>
    <row r="4" spans="1:19">
      <c r="G4" s="716" t="s">
        <v>38</v>
      </c>
      <c r="H4" s="716"/>
    </row>
    <row r="5" spans="1:19" ht="15" customHeight="1">
      <c r="A5" s="701" t="s">
        <v>10</v>
      </c>
      <c r="B5" s="701" t="s">
        <v>11</v>
      </c>
      <c r="C5" s="702" t="s">
        <v>660</v>
      </c>
      <c r="D5" s="703" t="s">
        <v>339</v>
      </c>
      <c r="E5" s="704"/>
      <c r="F5" s="705" t="s">
        <v>388</v>
      </c>
      <c r="G5" s="703" t="s">
        <v>661</v>
      </c>
      <c r="H5" s="704"/>
    </row>
    <row r="6" spans="1:19" ht="15" customHeight="1">
      <c r="A6" s="701"/>
      <c r="B6" s="701"/>
      <c r="C6" s="702"/>
      <c r="D6" s="708" t="s">
        <v>662</v>
      </c>
      <c r="E6" s="710" t="s">
        <v>423</v>
      </c>
      <c r="F6" s="706"/>
      <c r="G6" s="712" t="s">
        <v>421</v>
      </c>
      <c r="H6" s="714" t="s">
        <v>423</v>
      </c>
    </row>
    <row r="7" spans="1:19" ht="24.75" customHeight="1">
      <c r="A7" s="701"/>
      <c r="B7" s="701"/>
      <c r="C7" s="702"/>
      <c r="D7" s="709"/>
      <c r="E7" s="711"/>
      <c r="F7" s="707"/>
      <c r="G7" s="713"/>
      <c r="H7" s="715"/>
    </row>
    <row r="8" spans="1:19">
      <c r="A8" s="475" t="s">
        <v>14</v>
      </c>
      <c r="B8" s="475" t="s">
        <v>15</v>
      </c>
      <c r="C8" s="476">
        <v>1</v>
      </c>
      <c r="D8" s="476">
        <v>2</v>
      </c>
      <c r="E8" s="476">
        <v>3</v>
      </c>
      <c r="F8" s="476">
        <v>4</v>
      </c>
      <c r="G8" s="476">
        <v>5</v>
      </c>
      <c r="H8" s="476">
        <v>6</v>
      </c>
    </row>
    <row r="9" spans="1:19">
      <c r="A9" s="510" t="s">
        <v>14</v>
      </c>
      <c r="B9" s="477" t="s">
        <v>663</v>
      </c>
      <c r="C9" s="478">
        <f t="shared" ref="C9:H9" si="0">C10</f>
        <v>163652.94815099999</v>
      </c>
      <c r="D9" s="479">
        <f t="shared" si="0"/>
        <v>91370</v>
      </c>
      <c r="E9" s="479">
        <f t="shared" si="0"/>
        <v>144370</v>
      </c>
      <c r="F9" s="477">
        <f>F10</f>
        <v>140275</v>
      </c>
      <c r="G9" s="497">
        <f t="shared" si="0"/>
        <v>117820</v>
      </c>
      <c r="H9" s="498">
        <f t="shared" si="0"/>
        <v>216220</v>
      </c>
    </row>
    <row r="10" spans="1:19">
      <c r="A10" s="511">
        <v>1</v>
      </c>
      <c r="B10" s="507" t="s">
        <v>44</v>
      </c>
      <c r="C10" s="432">
        <v>163652.94815099999</v>
      </c>
      <c r="D10" s="433">
        <v>91370</v>
      </c>
      <c r="E10" s="433">
        <v>144370</v>
      </c>
      <c r="F10" s="431">
        <v>140275</v>
      </c>
      <c r="G10" s="499">
        <f>117820</f>
        <v>117820</v>
      </c>
      <c r="H10" s="500">
        <v>216220</v>
      </c>
    </row>
    <row r="11" spans="1:19">
      <c r="A11" s="511">
        <v>2</v>
      </c>
      <c r="B11" s="507" t="s">
        <v>509</v>
      </c>
      <c r="C11" s="432"/>
      <c r="D11" s="433"/>
      <c r="E11" s="433"/>
      <c r="F11" s="431"/>
      <c r="G11" s="499"/>
      <c r="H11" s="500"/>
    </row>
    <row r="12" spans="1:19">
      <c r="A12" s="511">
        <v>3</v>
      </c>
      <c r="B12" s="507" t="s">
        <v>664</v>
      </c>
      <c r="C12" s="432"/>
      <c r="D12" s="433"/>
      <c r="E12" s="433"/>
      <c r="F12" s="431"/>
      <c r="G12" s="499"/>
      <c r="H12" s="500"/>
    </row>
    <row r="13" spans="1:19">
      <c r="A13" s="511">
        <v>4</v>
      </c>
      <c r="B13" s="507" t="s">
        <v>665</v>
      </c>
      <c r="C13" s="432"/>
      <c r="D13" s="433"/>
      <c r="E13" s="433"/>
      <c r="F13" s="431"/>
      <c r="G13" s="499"/>
      <c r="H13" s="500"/>
    </row>
    <row r="14" spans="1:19" s="480" customFormat="1" ht="17.25" customHeight="1">
      <c r="A14" s="512" t="s">
        <v>15</v>
      </c>
      <c r="B14" s="508" t="s">
        <v>666</v>
      </c>
      <c r="C14" s="430">
        <f>C15+C18+C21+C22+C23+C24</f>
        <v>583361.92760699999</v>
      </c>
      <c r="D14" s="430">
        <f>D15+D18+D21+D22+D23+D24</f>
        <v>319343</v>
      </c>
      <c r="E14" s="430">
        <f>E15+E18+E21+E22+E23+E24</f>
        <v>366153</v>
      </c>
      <c r="F14" s="430">
        <f>F15+F18+F21+F22+F23+F24</f>
        <v>478307.09580000007</v>
      </c>
      <c r="G14" s="501">
        <f>G15+G18+G21+G22+G23</f>
        <v>361225</v>
      </c>
      <c r="H14" s="502">
        <f>H15+H18+H21+H22+H23</f>
        <v>447546.75</v>
      </c>
      <c r="I14" s="492"/>
      <c r="J14" s="492"/>
      <c r="K14" s="492"/>
      <c r="L14" s="492"/>
      <c r="M14" s="492"/>
      <c r="N14" s="492"/>
      <c r="O14" s="492"/>
      <c r="P14" s="492"/>
      <c r="Q14" s="492"/>
      <c r="R14" s="492"/>
      <c r="S14" s="492"/>
    </row>
    <row r="15" spans="1:19" s="480" customFormat="1" ht="14.25">
      <c r="A15" s="512" t="s">
        <v>16</v>
      </c>
      <c r="B15" s="508" t="s">
        <v>667</v>
      </c>
      <c r="C15" s="481">
        <f t="shared" ref="C15:H15" si="1">C16+C17</f>
        <v>138928.90763999999</v>
      </c>
      <c r="D15" s="482">
        <f t="shared" si="1"/>
        <v>75491</v>
      </c>
      <c r="E15" s="482">
        <f t="shared" si="1"/>
        <v>122301</v>
      </c>
      <c r="F15" s="430">
        <f>F16+F17</f>
        <v>117871.05</v>
      </c>
      <c r="G15" s="501">
        <f t="shared" si="1"/>
        <v>94965</v>
      </c>
      <c r="H15" s="502">
        <f t="shared" si="1"/>
        <v>181286.75</v>
      </c>
      <c r="I15" s="492"/>
      <c r="J15" s="492"/>
      <c r="K15" s="492"/>
      <c r="L15" s="492"/>
      <c r="M15" s="492"/>
      <c r="N15" s="492"/>
      <c r="O15" s="492"/>
      <c r="P15" s="492"/>
      <c r="Q15" s="492"/>
      <c r="R15" s="492"/>
      <c r="S15" s="492"/>
    </row>
    <row r="16" spans="1:19">
      <c r="A16" s="511">
        <v>1</v>
      </c>
      <c r="B16" s="507" t="s">
        <v>426</v>
      </c>
      <c r="C16" s="432">
        <v>5246.6533259999997</v>
      </c>
      <c r="D16" s="433">
        <v>6200</v>
      </c>
      <c r="E16" s="433">
        <v>6200</v>
      </c>
      <c r="F16" s="483">
        <v>6925.75</v>
      </c>
      <c r="G16" s="503">
        <v>20025</v>
      </c>
      <c r="H16" s="504">
        <v>98697</v>
      </c>
    </row>
    <row r="17" spans="1:19">
      <c r="A17" s="511">
        <v>2</v>
      </c>
      <c r="B17" s="507" t="s">
        <v>427</v>
      </c>
      <c r="C17" s="432">
        <v>133682.25431399999</v>
      </c>
      <c r="D17" s="433">
        <v>69291</v>
      </c>
      <c r="E17" s="433">
        <v>116101</v>
      </c>
      <c r="F17" s="483">
        <v>110945.3</v>
      </c>
      <c r="G17" s="503">
        <f>74940</f>
        <v>74940</v>
      </c>
      <c r="H17" s="504">
        <v>82589.75</v>
      </c>
    </row>
    <row r="18" spans="1:19" s="480" customFormat="1" ht="14.25">
      <c r="A18" s="512" t="s">
        <v>26</v>
      </c>
      <c r="B18" s="508" t="s">
        <v>19</v>
      </c>
      <c r="C18" s="481">
        <f t="shared" ref="C18:H18" si="2">C19+C20</f>
        <v>348317.55099999998</v>
      </c>
      <c r="D18" s="482">
        <f t="shared" si="2"/>
        <v>243852</v>
      </c>
      <c r="E18" s="482">
        <f t="shared" si="2"/>
        <v>243852</v>
      </c>
      <c r="F18" s="430">
        <f>F19+F20</f>
        <v>253430.53599999999</v>
      </c>
      <c r="G18" s="501">
        <f t="shared" si="2"/>
        <v>266260</v>
      </c>
      <c r="H18" s="502">
        <f t="shared" si="2"/>
        <v>266260</v>
      </c>
      <c r="I18" s="492"/>
      <c r="J18" s="492"/>
      <c r="K18" s="492"/>
      <c r="L18" s="492"/>
      <c r="M18" s="492"/>
      <c r="N18" s="492"/>
      <c r="O18" s="492"/>
      <c r="P18" s="492"/>
      <c r="Q18" s="492"/>
      <c r="R18" s="492"/>
      <c r="S18" s="492"/>
    </row>
    <row r="19" spans="1:19">
      <c r="A19" s="511">
        <v>1</v>
      </c>
      <c r="B19" s="507" t="s">
        <v>21</v>
      </c>
      <c r="C19" s="432">
        <v>212136</v>
      </c>
      <c r="D19" s="433">
        <v>210681</v>
      </c>
      <c r="E19" s="433">
        <v>210681</v>
      </c>
      <c r="F19" s="431">
        <v>210681</v>
      </c>
      <c r="G19" s="503">
        <v>258162</v>
      </c>
      <c r="H19" s="504">
        <v>258162</v>
      </c>
    </row>
    <row r="20" spans="1:19">
      <c r="A20" s="511">
        <v>2</v>
      </c>
      <c r="B20" s="507" t="s">
        <v>22</v>
      </c>
      <c r="C20" s="432">
        <v>136181.55100000001</v>
      </c>
      <c r="D20" s="433">
        <v>33171</v>
      </c>
      <c r="E20" s="433">
        <v>33171</v>
      </c>
      <c r="F20" s="484">
        <f>33171+9578.536</f>
        <v>42749.536</v>
      </c>
      <c r="G20" s="499">
        <v>8098</v>
      </c>
      <c r="H20" s="500">
        <v>8098</v>
      </c>
    </row>
    <row r="21" spans="1:19">
      <c r="A21" s="512" t="s">
        <v>32</v>
      </c>
      <c r="B21" s="508" t="s">
        <v>668</v>
      </c>
      <c r="C21" s="432">
        <v>0</v>
      </c>
      <c r="D21" s="433">
        <v>0</v>
      </c>
      <c r="E21" s="433">
        <v>0</v>
      </c>
      <c r="F21" s="431">
        <v>0</v>
      </c>
      <c r="G21" s="499"/>
      <c r="H21" s="500"/>
    </row>
    <row r="22" spans="1:19" s="480" customFormat="1" ht="14.25">
      <c r="A22" s="512" t="s">
        <v>64</v>
      </c>
      <c r="B22" s="508" t="s">
        <v>24</v>
      </c>
      <c r="C22" s="481">
        <v>21678.16588</v>
      </c>
      <c r="D22" s="482">
        <v>0</v>
      </c>
      <c r="E22" s="482">
        <v>0</v>
      </c>
      <c r="F22" s="430">
        <v>8404.08</v>
      </c>
      <c r="G22" s="501"/>
      <c r="H22" s="502"/>
      <c r="I22" s="492"/>
      <c r="J22" s="492"/>
      <c r="K22" s="492"/>
      <c r="L22" s="492"/>
      <c r="M22" s="492"/>
      <c r="N22" s="492"/>
      <c r="O22" s="492"/>
      <c r="P22" s="492"/>
      <c r="Q22" s="492"/>
      <c r="R22" s="492"/>
      <c r="S22" s="492"/>
    </row>
    <row r="23" spans="1:19" s="480" customFormat="1" ht="22.5" customHeight="1">
      <c r="A23" s="512" t="s">
        <v>66</v>
      </c>
      <c r="B23" s="508" t="s">
        <v>25</v>
      </c>
      <c r="C23" s="481">
        <v>74198.171987000009</v>
      </c>
      <c r="D23" s="482">
        <v>0</v>
      </c>
      <c r="E23" s="482">
        <v>0</v>
      </c>
      <c r="F23" s="430">
        <v>98504.59</v>
      </c>
      <c r="G23" s="501"/>
      <c r="H23" s="502"/>
      <c r="I23" s="492"/>
      <c r="J23" s="492"/>
      <c r="K23" s="492"/>
      <c r="L23" s="492"/>
      <c r="M23" s="492"/>
      <c r="N23" s="492"/>
      <c r="O23" s="492"/>
      <c r="P23" s="492"/>
      <c r="Q23" s="492"/>
      <c r="R23" s="492"/>
      <c r="S23" s="492"/>
    </row>
    <row r="24" spans="1:19" s="480" customFormat="1" ht="14.25">
      <c r="A24" s="512" t="s">
        <v>68</v>
      </c>
      <c r="B24" s="508" t="s">
        <v>669</v>
      </c>
      <c r="C24" s="481">
        <v>239.1311</v>
      </c>
      <c r="D24" s="482">
        <v>0</v>
      </c>
      <c r="E24" s="482">
        <v>0</v>
      </c>
      <c r="F24" s="494">
        <v>96.839799999999997</v>
      </c>
      <c r="G24" s="501"/>
      <c r="H24" s="502"/>
      <c r="I24" s="492"/>
      <c r="J24" s="492"/>
      <c r="K24" s="492"/>
      <c r="L24" s="492"/>
      <c r="M24" s="492"/>
      <c r="N24" s="492"/>
      <c r="O24" s="492"/>
      <c r="P24" s="492"/>
      <c r="Q24" s="492"/>
      <c r="R24" s="492"/>
      <c r="S24" s="492"/>
    </row>
    <row r="25" spans="1:19" s="485" customFormat="1" ht="18" customHeight="1">
      <c r="A25" s="512" t="s">
        <v>70</v>
      </c>
      <c r="B25" s="508" t="s">
        <v>240</v>
      </c>
      <c r="C25" s="481">
        <f>C26+C32+C36+C37</f>
        <v>574957.84834699996</v>
      </c>
      <c r="D25" s="482">
        <f>D26+D32+D36</f>
        <v>319343</v>
      </c>
      <c r="E25" s="482">
        <f>E26+E32+E36</f>
        <v>366153</v>
      </c>
      <c r="F25" s="430">
        <f>F26+F32+F36</f>
        <v>478307.34399999992</v>
      </c>
      <c r="G25" s="501">
        <f>G26+G32+G36</f>
        <v>361225</v>
      </c>
      <c r="H25" s="502">
        <f>H26+H32+H36</f>
        <v>447546.75002000004</v>
      </c>
      <c r="I25" s="495"/>
      <c r="J25" s="495"/>
      <c r="K25" s="495"/>
      <c r="L25" s="495"/>
      <c r="M25" s="495"/>
      <c r="N25" s="495"/>
      <c r="O25" s="495"/>
      <c r="P25" s="495"/>
      <c r="Q25" s="495"/>
      <c r="R25" s="495"/>
      <c r="S25" s="495"/>
    </row>
    <row r="26" spans="1:19" s="485" customFormat="1" ht="14.25">
      <c r="A26" s="512" t="s">
        <v>16</v>
      </c>
      <c r="B26" s="508" t="s">
        <v>125</v>
      </c>
      <c r="C26" s="481">
        <f t="shared" ref="C26:H26" si="3">SUM(C27:C31)</f>
        <v>344352.16251399997</v>
      </c>
      <c r="D26" s="482">
        <f t="shared" si="3"/>
        <v>286172</v>
      </c>
      <c r="E26" s="482">
        <f t="shared" si="3"/>
        <v>332982</v>
      </c>
      <c r="F26" s="430">
        <f>SUM(F27:F31)</f>
        <v>419970.98399999994</v>
      </c>
      <c r="G26" s="501">
        <f t="shared" si="3"/>
        <v>353127</v>
      </c>
      <c r="H26" s="502">
        <f t="shared" si="3"/>
        <v>439448.75002000004</v>
      </c>
      <c r="I26" s="495"/>
      <c r="J26" s="495"/>
      <c r="K26" s="495"/>
      <c r="L26" s="495"/>
      <c r="M26" s="495"/>
      <c r="N26" s="495"/>
      <c r="O26" s="495"/>
      <c r="P26" s="495"/>
      <c r="Q26" s="495"/>
      <c r="R26" s="495"/>
      <c r="S26" s="495"/>
    </row>
    <row r="27" spans="1:19">
      <c r="A27" s="511">
        <v>1</v>
      </c>
      <c r="B27" s="507" t="s">
        <v>430</v>
      </c>
      <c r="C27" s="432">
        <v>73574.593349000002</v>
      </c>
      <c r="D27" s="433">
        <f>10472</f>
        <v>10472</v>
      </c>
      <c r="E27" s="433">
        <v>51832</v>
      </c>
      <c r="F27" s="493">
        <v>62203.550999999999</v>
      </c>
      <c r="G27" s="503">
        <f>7832+10560</f>
        <v>18392</v>
      </c>
      <c r="H27" s="504">
        <v>97064</v>
      </c>
      <c r="I27" s="490"/>
    </row>
    <row r="28" spans="1:19">
      <c r="A28" s="511">
        <v>2</v>
      </c>
      <c r="B28" s="507" t="s">
        <v>85</v>
      </c>
      <c r="C28" s="432">
        <v>270777.56916499999</v>
      </c>
      <c r="D28" s="433">
        <v>269970</v>
      </c>
      <c r="E28" s="433">
        <v>268646</v>
      </c>
      <c r="F28" s="493">
        <v>267630.05</v>
      </c>
      <c r="G28" s="499">
        <v>327672</v>
      </c>
      <c r="H28" s="500">
        <f>'BIEU 33b04'!J26</f>
        <v>325060.25002000004</v>
      </c>
      <c r="I28" s="489"/>
    </row>
    <row r="29" spans="1:19">
      <c r="A29" s="511">
        <v>3</v>
      </c>
      <c r="B29" s="507" t="s">
        <v>127</v>
      </c>
      <c r="C29" s="432"/>
      <c r="D29" s="433">
        <v>0</v>
      </c>
      <c r="E29" s="433">
        <v>0</v>
      </c>
      <c r="F29" s="431">
        <v>0</v>
      </c>
      <c r="G29" s="499">
        <v>0</v>
      </c>
      <c r="H29" s="500">
        <v>0</v>
      </c>
    </row>
    <row r="30" spans="1:19">
      <c r="A30" s="511">
        <v>4</v>
      </c>
      <c r="B30" s="507" t="s">
        <v>67</v>
      </c>
      <c r="C30" s="432"/>
      <c r="D30" s="433">
        <v>5730</v>
      </c>
      <c r="E30" s="433">
        <v>5730</v>
      </c>
      <c r="F30" s="493">
        <v>7629</v>
      </c>
      <c r="G30" s="499">
        <v>7063</v>
      </c>
      <c r="H30" s="500">
        <v>7063</v>
      </c>
    </row>
    <row r="31" spans="1:19">
      <c r="A31" s="511">
        <v>5</v>
      </c>
      <c r="B31" s="507" t="s">
        <v>432</v>
      </c>
      <c r="C31" s="432"/>
      <c r="D31" s="433"/>
      <c r="E31" s="433">
        <v>6774</v>
      </c>
      <c r="F31" s="493">
        <v>82508.383000000002</v>
      </c>
      <c r="G31" s="499"/>
      <c r="H31" s="500">
        <f>'BIEU 33b04'!J35</f>
        <v>10261.5</v>
      </c>
    </row>
    <row r="32" spans="1:19">
      <c r="A32" s="512" t="s">
        <v>26</v>
      </c>
      <c r="B32" s="508" t="s">
        <v>670</v>
      </c>
      <c r="C32" s="481">
        <f t="shared" ref="C32:H32" si="4">C33+C34+C35</f>
        <v>131252.464439</v>
      </c>
      <c r="D32" s="482">
        <f t="shared" si="4"/>
        <v>33171</v>
      </c>
      <c r="E32" s="482">
        <f t="shared" si="4"/>
        <v>33171</v>
      </c>
      <c r="F32" s="430">
        <f>F33+F34+F35</f>
        <v>58336.36</v>
      </c>
      <c r="G32" s="501">
        <f t="shared" si="4"/>
        <v>8098</v>
      </c>
      <c r="H32" s="502">
        <f t="shared" si="4"/>
        <v>8098</v>
      </c>
    </row>
    <row r="33" spans="1:19" ht="17.25" customHeight="1">
      <c r="A33" s="511">
        <v>1</v>
      </c>
      <c r="B33" s="507" t="s">
        <v>433</v>
      </c>
      <c r="C33" s="432">
        <v>27448.799284000001</v>
      </c>
      <c r="D33" s="433">
        <v>12253</v>
      </c>
      <c r="E33" s="433">
        <v>12253</v>
      </c>
      <c r="F33" s="493">
        <v>22594.9</v>
      </c>
      <c r="G33" s="499">
        <v>8098</v>
      </c>
      <c r="H33" s="500">
        <v>8098</v>
      </c>
    </row>
    <row r="34" spans="1:19">
      <c r="A34" s="511">
        <v>2</v>
      </c>
      <c r="B34" s="507" t="s">
        <v>434</v>
      </c>
      <c r="C34" s="432">
        <v>35600.40395</v>
      </c>
      <c r="D34" s="433">
        <v>20918</v>
      </c>
      <c r="E34" s="433">
        <v>20918</v>
      </c>
      <c r="F34" s="493">
        <v>34442.21</v>
      </c>
      <c r="G34" s="499"/>
      <c r="H34" s="500"/>
    </row>
    <row r="35" spans="1:19">
      <c r="A35" s="511">
        <v>3</v>
      </c>
      <c r="B35" s="507" t="s">
        <v>193</v>
      </c>
      <c r="C35" s="432">
        <v>68203.261205000003</v>
      </c>
      <c r="D35" s="433">
        <v>0</v>
      </c>
      <c r="E35" s="433">
        <v>0</v>
      </c>
      <c r="F35" s="431">
        <v>1299.25</v>
      </c>
      <c r="G35" s="499">
        <v>0</v>
      </c>
      <c r="H35" s="500">
        <v>0</v>
      </c>
    </row>
    <row r="36" spans="1:19">
      <c r="A36" s="512" t="s">
        <v>32</v>
      </c>
      <c r="B36" s="508" t="s">
        <v>31</v>
      </c>
      <c r="C36" s="430">
        <v>98504.590293999994</v>
      </c>
      <c r="D36" s="433">
        <v>0</v>
      </c>
      <c r="E36" s="433">
        <v>0</v>
      </c>
      <c r="F36" s="431"/>
      <c r="G36" s="499"/>
      <c r="H36" s="500"/>
    </row>
    <row r="37" spans="1:19" s="480" customFormat="1" ht="14.25">
      <c r="A37" s="513" t="s">
        <v>64</v>
      </c>
      <c r="B37" s="509" t="s">
        <v>671</v>
      </c>
      <c r="C37" s="496">
        <v>848.63109999999995</v>
      </c>
      <c r="D37" s="487">
        <v>0</v>
      </c>
      <c r="E37" s="487">
        <v>0</v>
      </c>
      <c r="F37" s="486"/>
      <c r="G37" s="505"/>
      <c r="H37" s="506"/>
      <c r="I37" s="492"/>
      <c r="J37" s="492"/>
      <c r="K37" s="492"/>
      <c r="L37" s="492"/>
      <c r="M37" s="492"/>
      <c r="N37" s="492"/>
      <c r="O37" s="492"/>
      <c r="P37" s="492"/>
      <c r="Q37" s="492"/>
      <c r="R37" s="492"/>
      <c r="S37" s="492"/>
    </row>
    <row r="38" spans="1:19">
      <c r="A38" s="488"/>
    </row>
    <row r="39" spans="1:19">
      <c r="A39" s="696"/>
      <c r="E39" s="697"/>
      <c r="F39" s="697"/>
      <c r="G39" s="697"/>
      <c r="H39" s="697"/>
    </row>
    <row r="40" spans="1:19">
      <c r="A40" s="696"/>
      <c r="E40" s="698"/>
      <c r="F40" s="698"/>
      <c r="G40" s="698"/>
      <c r="H40" s="698"/>
    </row>
    <row r="41" spans="1:19">
      <c r="A41" s="696"/>
      <c r="E41" s="698"/>
      <c r="F41" s="698"/>
      <c r="G41" s="698"/>
      <c r="H41" s="698"/>
    </row>
    <row r="42" spans="1:19">
      <c r="A42" s="696"/>
      <c r="E42" s="697"/>
      <c r="F42" s="697"/>
      <c r="G42" s="697"/>
      <c r="H42" s="697"/>
    </row>
  </sheetData>
  <mergeCells count="18">
    <mergeCell ref="E1:H1"/>
    <mergeCell ref="A3:H3"/>
    <mergeCell ref="A5:A7"/>
    <mergeCell ref="B5:B7"/>
    <mergeCell ref="C5:C7"/>
    <mergeCell ref="D5:E5"/>
    <mergeCell ref="F5:F7"/>
    <mergeCell ref="G5:H5"/>
    <mergeCell ref="D6:D7"/>
    <mergeCell ref="E6:E7"/>
    <mergeCell ref="G6:G7"/>
    <mergeCell ref="H6:H7"/>
    <mergeCell ref="G4:H4"/>
    <mergeCell ref="A39:A42"/>
    <mergeCell ref="E39:H39"/>
    <mergeCell ref="E40:H40"/>
    <mergeCell ref="E41:H41"/>
    <mergeCell ref="E42:H42"/>
  </mergeCells>
  <hyperlinks>
    <hyperlink ref="E1:H1" location="'PL tong hop'!A1" display="Mẫu biểu số 29.1/TT342"/>
  </hyperlinks>
  <printOptions horizontalCentered="1"/>
  <pageMargins left="0.5" right="0.25" top="0.5" bottom="0.5" header="0.31496062992126" footer="0.31496062992126"/>
  <pageSetup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8"/>
  <sheetViews>
    <sheetView view="pageBreakPreview" zoomScale="90" zoomScaleNormal="100" zoomScaleSheetLayoutView="90" workbookViewId="0">
      <pane xSplit="3" ySplit="5" topLeftCell="E12" activePane="bottomRight" state="frozen"/>
      <selection activeCell="A4" sqref="A4:XFD4"/>
      <selection pane="topRight" activeCell="A4" sqref="A4:XFD4"/>
      <selection pane="bottomLeft" activeCell="A4" sqref="A4:XFD4"/>
      <selection pane="bottomRight" activeCell="B24" sqref="B24"/>
    </sheetView>
  </sheetViews>
  <sheetFormatPr defaultColWidth="9.140625" defaultRowHeight="15"/>
  <cols>
    <col min="1" max="1" width="6.28515625" style="201" customWidth="1"/>
    <col min="2" max="2" width="54.85546875" style="201" customWidth="1"/>
    <col min="3" max="3" width="12.7109375" style="201" hidden="1" customWidth="1"/>
    <col min="4" max="4" width="11.5703125" style="201" hidden="1" customWidth="1"/>
    <col min="5" max="5" width="18.7109375" style="201" customWidth="1"/>
    <col min="6" max="6" width="10.28515625" style="201" hidden="1" customWidth="1"/>
    <col min="7" max="7" width="9.140625" style="201" hidden="1" customWidth="1"/>
    <col min="8" max="8" width="14.140625" style="427" customWidth="1"/>
    <col min="9" max="9" width="11.42578125" style="427" hidden="1" customWidth="1"/>
    <col min="10" max="10" width="11.42578125" style="201" hidden="1" customWidth="1"/>
    <col min="11" max="11" width="0" style="201" hidden="1" customWidth="1"/>
    <col min="12" max="16384" width="9.140625" style="201"/>
  </cols>
  <sheetData>
    <row r="1" spans="1:9">
      <c r="A1" s="717"/>
      <c r="B1" s="717"/>
      <c r="E1" s="722" t="s">
        <v>8</v>
      </c>
      <c r="F1" s="722"/>
      <c r="G1" s="722"/>
      <c r="H1" s="722"/>
    </row>
    <row r="2" spans="1:9" ht="23.25" customHeight="1">
      <c r="A2" s="721" t="s">
        <v>646</v>
      </c>
      <c r="B2" s="721"/>
      <c r="C2" s="721"/>
      <c r="D2" s="721"/>
      <c r="E2" s="721"/>
      <c r="F2" s="721"/>
      <c r="G2" s="721"/>
      <c r="H2" s="721"/>
    </row>
    <row r="3" spans="1:9">
      <c r="A3" s="202"/>
      <c r="F3" s="718" t="s">
        <v>9</v>
      </c>
      <c r="G3" s="718"/>
    </row>
    <row r="4" spans="1:9" ht="24.75" customHeight="1">
      <c r="A4" s="726" t="s">
        <v>10</v>
      </c>
      <c r="B4" s="726" t="s">
        <v>11</v>
      </c>
      <c r="C4" s="726" t="s">
        <v>339</v>
      </c>
      <c r="D4" s="726" t="s">
        <v>388</v>
      </c>
      <c r="E4" s="727" t="s">
        <v>676</v>
      </c>
      <c r="F4" s="726" t="s">
        <v>12</v>
      </c>
      <c r="G4" s="726"/>
      <c r="H4" s="719" t="s">
        <v>653</v>
      </c>
    </row>
    <row r="5" spans="1:9" ht="36.75" customHeight="1">
      <c r="A5" s="726"/>
      <c r="B5" s="726"/>
      <c r="C5" s="726"/>
      <c r="D5" s="726"/>
      <c r="E5" s="728"/>
      <c r="F5" s="515" t="s">
        <v>13</v>
      </c>
      <c r="G5" s="515" t="s">
        <v>3</v>
      </c>
      <c r="H5" s="720"/>
    </row>
    <row r="6" spans="1:9" ht="16.5" customHeight="1">
      <c r="A6" s="516" t="s">
        <v>14</v>
      </c>
      <c r="B6" s="516" t="s">
        <v>15</v>
      </c>
      <c r="C6" s="516">
        <v>1</v>
      </c>
      <c r="D6" s="516">
        <v>2</v>
      </c>
      <c r="E6" s="516">
        <v>1</v>
      </c>
      <c r="F6" s="516">
        <v>4</v>
      </c>
      <c r="G6" s="516">
        <v>5</v>
      </c>
      <c r="H6" s="516">
        <v>2</v>
      </c>
    </row>
    <row r="7" spans="1:9" s="210" customFormat="1">
      <c r="A7" s="465" t="s">
        <v>14</v>
      </c>
      <c r="B7" s="466" t="s">
        <v>152</v>
      </c>
      <c r="C7" s="517"/>
      <c r="D7" s="517"/>
      <c r="E7" s="517"/>
      <c r="F7" s="518">
        <f>E7-D7</f>
        <v>0</v>
      </c>
      <c r="G7" s="466"/>
      <c r="H7" s="534"/>
      <c r="I7" s="218"/>
    </row>
    <row r="8" spans="1:9" s="210" customFormat="1" ht="14.25">
      <c r="A8" s="519" t="s">
        <v>16</v>
      </c>
      <c r="B8" s="520" t="s">
        <v>17</v>
      </c>
      <c r="C8" s="521">
        <f>C9+C10+C13+C14+C15+C16</f>
        <v>359894</v>
      </c>
      <c r="D8" s="521">
        <f>D9+D10+D13+D14+D15+D16</f>
        <v>469505.24596499995</v>
      </c>
      <c r="E8" s="536">
        <f>E9+E10+E13+E14+E15+E16</f>
        <v>437617.75</v>
      </c>
      <c r="F8" s="536">
        <f>F9+F10+F13+F14+F15+F16</f>
        <v>-31887.49596499998</v>
      </c>
      <c r="G8" s="537">
        <f>E8/D8</f>
        <v>0.93208276959832514</v>
      </c>
      <c r="H8" s="536">
        <f>H9+H10+H13+H14+H15+H16</f>
        <v>437617.75</v>
      </c>
      <c r="I8" s="218"/>
    </row>
    <row r="9" spans="1:9">
      <c r="A9" s="522">
        <v>1</v>
      </c>
      <c r="B9" s="523" t="s">
        <v>18</v>
      </c>
      <c r="C9" s="429">
        <v>116042</v>
      </c>
      <c r="D9" s="429">
        <v>113386.56909999999</v>
      </c>
      <c r="E9" s="538">
        <v>171357.75</v>
      </c>
      <c r="F9" s="538">
        <f t="shared" ref="F9:F17" si="0">E9-D9</f>
        <v>57971.180900000007</v>
      </c>
      <c r="G9" s="539">
        <f>E9/D9</f>
        <v>1.5112702620790386</v>
      </c>
      <c r="H9" s="538">
        <v>171357.75</v>
      </c>
    </row>
    <row r="10" spans="1:9">
      <c r="A10" s="522">
        <v>2</v>
      </c>
      <c r="B10" s="523" t="s">
        <v>19</v>
      </c>
      <c r="C10" s="429">
        <f>SUM(C11:C12)</f>
        <v>243852</v>
      </c>
      <c r="D10" s="429">
        <f>SUM(D11:D12)</f>
        <v>253430.53599999999</v>
      </c>
      <c r="E10" s="538">
        <f>SUM(E11:E12)</f>
        <v>266260</v>
      </c>
      <c r="F10" s="538">
        <f t="shared" si="0"/>
        <v>12829.464000000007</v>
      </c>
      <c r="G10" s="539">
        <f>E10/D10</f>
        <v>1.0506231971983044</v>
      </c>
      <c r="H10" s="538">
        <f>SUM(H11:H12)</f>
        <v>266260</v>
      </c>
    </row>
    <row r="11" spans="1:9">
      <c r="A11" s="522" t="s">
        <v>20</v>
      </c>
      <c r="B11" s="523" t="s">
        <v>21</v>
      </c>
      <c r="C11" s="524">
        <v>210681</v>
      </c>
      <c r="D11" s="525">
        <v>210681</v>
      </c>
      <c r="E11" s="540">
        <v>258162</v>
      </c>
      <c r="F11" s="538">
        <f t="shared" si="0"/>
        <v>47481</v>
      </c>
      <c r="G11" s="539">
        <f>E11/D11</f>
        <v>1.225369160009683</v>
      </c>
      <c r="H11" s="540">
        <v>258162</v>
      </c>
    </row>
    <row r="12" spans="1:9">
      <c r="A12" s="522" t="s">
        <v>20</v>
      </c>
      <c r="B12" s="523" t="s">
        <v>22</v>
      </c>
      <c r="C12" s="524">
        <v>33171</v>
      </c>
      <c r="D12" s="525">
        <v>42749.536</v>
      </c>
      <c r="E12" s="538">
        <v>8098</v>
      </c>
      <c r="F12" s="538">
        <f t="shared" si="0"/>
        <v>-34651.536</v>
      </c>
      <c r="G12" s="539">
        <f>E12/D12</f>
        <v>0.18942895660902612</v>
      </c>
      <c r="H12" s="538">
        <v>8098</v>
      </c>
    </row>
    <row r="13" spans="1:9">
      <c r="A13" s="522">
        <v>3</v>
      </c>
      <c r="B13" s="523" t="s">
        <v>23</v>
      </c>
      <c r="C13" s="429">
        <v>0</v>
      </c>
      <c r="D13" s="429">
        <v>0</v>
      </c>
      <c r="E13" s="538">
        <v>0</v>
      </c>
      <c r="F13" s="538">
        <f t="shared" si="0"/>
        <v>0</v>
      </c>
      <c r="G13" s="539"/>
      <c r="H13" s="538">
        <v>0</v>
      </c>
    </row>
    <row r="14" spans="1:9">
      <c r="A14" s="522">
        <v>4</v>
      </c>
      <c r="B14" s="523" t="s">
        <v>24</v>
      </c>
      <c r="C14" s="429">
        <v>0</v>
      </c>
      <c r="D14" s="526">
        <v>7527.92623</v>
      </c>
      <c r="E14" s="538"/>
      <c r="F14" s="538">
        <f t="shared" si="0"/>
        <v>-7527.92623</v>
      </c>
      <c r="G14" s="539">
        <f>E14/D14</f>
        <v>0</v>
      </c>
      <c r="H14" s="538"/>
    </row>
    <row r="15" spans="1:9">
      <c r="A15" s="522">
        <v>5</v>
      </c>
      <c r="B15" s="523" t="s">
        <v>25</v>
      </c>
      <c r="C15" s="429">
        <v>0</v>
      </c>
      <c r="D15" s="526">
        <v>95063.374834999995</v>
      </c>
      <c r="E15" s="538"/>
      <c r="F15" s="538">
        <f t="shared" si="0"/>
        <v>-95063.374834999995</v>
      </c>
      <c r="G15" s="539">
        <f>E15/D15</f>
        <v>0</v>
      </c>
      <c r="H15" s="538"/>
    </row>
    <row r="16" spans="1:9">
      <c r="A16" s="522">
        <v>6</v>
      </c>
      <c r="B16" s="523" t="s">
        <v>154</v>
      </c>
      <c r="C16" s="429">
        <v>0</v>
      </c>
      <c r="D16" s="429">
        <v>96.839799999999997</v>
      </c>
      <c r="E16" s="538"/>
      <c r="F16" s="538">
        <f t="shared" si="0"/>
        <v>-96.839799999999997</v>
      </c>
      <c r="G16" s="539"/>
      <c r="H16" s="538"/>
    </row>
    <row r="17" spans="1:9" s="210" customFormat="1" ht="14.25">
      <c r="A17" s="519" t="s">
        <v>26</v>
      </c>
      <c r="B17" s="520" t="s">
        <v>27</v>
      </c>
      <c r="C17" s="521">
        <f>C18+C19+C22</f>
        <v>359894.24800000002</v>
      </c>
      <c r="D17" s="521">
        <f>D18+D19+D22</f>
        <v>467401.670079</v>
      </c>
      <c r="E17" s="536">
        <f>E18+E19+E22</f>
        <v>437617.74979999999</v>
      </c>
      <c r="F17" s="536">
        <f t="shared" si="0"/>
        <v>-29783.920279000013</v>
      </c>
      <c r="G17" s="537">
        <f>E17/D17</f>
        <v>0.9362776768128237</v>
      </c>
      <c r="H17" s="536">
        <f>H18+H19+H22</f>
        <v>437617.74982000003</v>
      </c>
      <c r="I17" s="218"/>
    </row>
    <row r="18" spans="1:9">
      <c r="A18" s="522">
        <v>1</v>
      </c>
      <c r="B18" s="523" t="s">
        <v>156</v>
      </c>
      <c r="C18" s="429">
        <v>304741.11800000002</v>
      </c>
      <c r="D18" s="429">
        <v>409152.03007899999</v>
      </c>
      <c r="E18" s="538">
        <v>378521.97</v>
      </c>
      <c r="F18" s="538">
        <f t="shared" ref="F18:F24" si="1">E18-C18</f>
        <v>73780.851999999955</v>
      </c>
      <c r="G18" s="539">
        <f>E18/C18</f>
        <v>1.2421099341113526</v>
      </c>
      <c r="H18" s="538">
        <f>'BIEU 33b04'!K9</f>
        <v>378297.01002000005</v>
      </c>
    </row>
    <row r="19" spans="1:9">
      <c r="A19" s="522">
        <v>2</v>
      </c>
      <c r="B19" s="523" t="s">
        <v>28</v>
      </c>
      <c r="C19" s="429">
        <f>SUM(C20:C21)</f>
        <v>55153.13</v>
      </c>
      <c r="D19" s="429">
        <f>SUM(D20:D21)</f>
        <v>58249.64</v>
      </c>
      <c r="E19" s="538">
        <f>SUM(E20:E21)</f>
        <v>59095.779799999997</v>
      </c>
      <c r="F19" s="538">
        <f t="shared" si="1"/>
        <v>3942.6497999999992</v>
      </c>
      <c r="G19" s="539">
        <f>E19/C19</f>
        <v>1.0714855131522001</v>
      </c>
      <c r="H19" s="538">
        <f>H20+H21</f>
        <v>59320.739799999996</v>
      </c>
    </row>
    <row r="20" spans="1:9">
      <c r="A20" s="522" t="s">
        <v>20</v>
      </c>
      <c r="B20" s="523" t="s">
        <v>29</v>
      </c>
      <c r="C20" s="429">
        <v>54503.13</v>
      </c>
      <c r="D20" s="429">
        <v>57126.64</v>
      </c>
      <c r="E20" s="538">
        <v>59044.779799999997</v>
      </c>
      <c r="F20" s="538">
        <f t="shared" si="1"/>
        <v>4541.6497999999992</v>
      </c>
      <c r="G20" s="539">
        <f>E20/C20</f>
        <v>1.0833282382131082</v>
      </c>
      <c r="H20" s="538">
        <f>'BIEU 34'!D7-51</f>
        <v>59269.739799999996</v>
      </c>
    </row>
    <row r="21" spans="1:9">
      <c r="A21" s="522" t="s">
        <v>20</v>
      </c>
      <c r="B21" s="523" t="s">
        <v>30</v>
      </c>
      <c r="C21" s="429">
        <v>650</v>
      </c>
      <c r="D21" s="429">
        <v>1123</v>
      </c>
      <c r="E21" s="538">
        <v>51</v>
      </c>
      <c r="F21" s="538">
        <f t="shared" si="1"/>
        <v>-599</v>
      </c>
      <c r="G21" s="539">
        <f>E21/C21</f>
        <v>7.8461538461538458E-2</v>
      </c>
      <c r="H21" s="538">
        <v>51</v>
      </c>
    </row>
    <row r="22" spans="1:9">
      <c r="A22" s="522">
        <v>3</v>
      </c>
      <c r="B22" s="523" t="s">
        <v>31</v>
      </c>
      <c r="C22" s="429"/>
      <c r="D22" s="429"/>
      <c r="E22" s="538"/>
      <c r="F22" s="538">
        <f t="shared" si="1"/>
        <v>0</v>
      </c>
      <c r="G22" s="539"/>
      <c r="H22" s="538"/>
    </row>
    <row r="23" spans="1:9" s="210" customFormat="1">
      <c r="A23" s="519" t="s">
        <v>32</v>
      </c>
      <c r="B23" s="520" t="s">
        <v>33</v>
      </c>
      <c r="C23" s="521"/>
      <c r="D23" s="521"/>
      <c r="E23" s="536"/>
      <c r="F23" s="538">
        <f t="shared" si="1"/>
        <v>0</v>
      </c>
      <c r="G23" s="539"/>
      <c r="H23" s="536">
        <f>H8-H17</f>
        <v>1.7999997362494469E-4</v>
      </c>
      <c r="I23" s="218"/>
    </row>
    <row r="24" spans="1:9" s="210" customFormat="1">
      <c r="A24" s="519" t="s">
        <v>15</v>
      </c>
      <c r="B24" s="520" t="s">
        <v>153</v>
      </c>
      <c r="C24" s="521"/>
      <c r="D24" s="521"/>
      <c r="E24" s="536"/>
      <c r="F24" s="538">
        <f t="shared" si="1"/>
        <v>0</v>
      </c>
      <c r="G24" s="539"/>
      <c r="H24" s="536"/>
      <c r="I24" s="218"/>
    </row>
    <row r="25" spans="1:9" s="210" customFormat="1" ht="14.25">
      <c r="A25" s="519" t="s">
        <v>16</v>
      </c>
      <c r="B25" s="520" t="s">
        <v>17</v>
      </c>
      <c r="C25" s="521">
        <f>C26+C27+C30+C31</f>
        <v>61411.829999999994</v>
      </c>
      <c r="D25" s="521">
        <f>D26+D27+D30+D31</f>
        <v>67051.486014000009</v>
      </c>
      <c r="E25" s="536">
        <f>E26+E27+E30+E31</f>
        <v>69024.779799999989</v>
      </c>
      <c r="F25" s="536">
        <f>E25-D25</f>
        <v>1973.2937859999802</v>
      </c>
      <c r="G25" s="537">
        <f>E25/D25</f>
        <v>1.0294295309963446</v>
      </c>
      <c r="H25" s="536">
        <f>H26+H27+H30+H31</f>
        <v>69249.739799999996</v>
      </c>
      <c r="I25" s="218"/>
    </row>
    <row r="26" spans="1:9">
      <c r="A26" s="522">
        <v>1</v>
      </c>
      <c r="B26" s="523" t="s">
        <v>18</v>
      </c>
      <c r="C26" s="429">
        <v>6258.7</v>
      </c>
      <c r="D26" s="429">
        <v>4484.4775250000002</v>
      </c>
      <c r="E26" s="538">
        <v>9929</v>
      </c>
      <c r="F26" s="538">
        <f t="shared" ref="F26:F40" si="2">E26-C26</f>
        <v>3670.3</v>
      </c>
      <c r="G26" s="539">
        <f>E26/C26</f>
        <v>1.5864316870915687</v>
      </c>
      <c r="H26" s="538">
        <v>9929</v>
      </c>
    </row>
    <row r="27" spans="1:9">
      <c r="A27" s="522">
        <v>2</v>
      </c>
      <c r="B27" s="523" t="s">
        <v>34</v>
      </c>
      <c r="C27" s="429">
        <f>SUM(C28:C29)</f>
        <v>55153.13</v>
      </c>
      <c r="D27" s="429">
        <f>SUM(D28:D29)</f>
        <v>58249.64</v>
      </c>
      <c r="E27" s="538">
        <f>SUM(E28:E29)</f>
        <v>59095.779799999997</v>
      </c>
      <c r="F27" s="538">
        <f t="shared" si="2"/>
        <v>3942.6497999999992</v>
      </c>
      <c r="G27" s="539">
        <f>E27/C27</f>
        <v>1.0714855131522001</v>
      </c>
      <c r="H27" s="538">
        <f>SUM(H28:H29)</f>
        <v>59320.739799999996</v>
      </c>
    </row>
    <row r="28" spans="1:9">
      <c r="A28" s="522" t="s">
        <v>20</v>
      </c>
      <c r="B28" s="523" t="s">
        <v>21</v>
      </c>
      <c r="C28" s="429">
        <v>54503.13</v>
      </c>
      <c r="D28" s="429">
        <v>57126.64</v>
      </c>
      <c r="E28" s="538">
        <v>59044.779799999997</v>
      </c>
      <c r="F28" s="538">
        <f t="shared" si="2"/>
        <v>4541.6497999999992</v>
      </c>
      <c r="G28" s="539">
        <f>E28/C28</f>
        <v>1.0833282382131082</v>
      </c>
      <c r="H28" s="538">
        <f>H20</f>
        <v>59269.739799999996</v>
      </c>
    </row>
    <row r="29" spans="1:9">
      <c r="A29" s="522" t="s">
        <v>20</v>
      </c>
      <c r="B29" s="523" t="s">
        <v>22</v>
      </c>
      <c r="C29" s="429">
        <v>650</v>
      </c>
      <c r="D29" s="429">
        <v>1123</v>
      </c>
      <c r="E29" s="538">
        <v>51</v>
      </c>
      <c r="F29" s="538">
        <f t="shared" si="2"/>
        <v>-599</v>
      </c>
      <c r="G29" s="539">
        <f>E29/C29</f>
        <v>7.8461538461538458E-2</v>
      </c>
      <c r="H29" s="538">
        <v>51</v>
      </c>
    </row>
    <row r="30" spans="1:9">
      <c r="A30" s="522">
        <v>3</v>
      </c>
      <c r="B30" s="523" t="s">
        <v>35</v>
      </c>
      <c r="C30" s="429">
        <v>0</v>
      </c>
      <c r="D30" s="429">
        <v>876.15302999999994</v>
      </c>
      <c r="E30" s="538"/>
      <c r="F30" s="538"/>
      <c r="G30" s="539"/>
      <c r="H30" s="538"/>
    </row>
    <row r="31" spans="1:9">
      <c r="A31" s="522">
        <v>4</v>
      </c>
      <c r="B31" s="523" t="s">
        <v>25</v>
      </c>
      <c r="C31" s="429">
        <v>0</v>
      </c>
      <c r="D31" s="429">
        <v>3441.215459</v>
      </c>
      <c r="E31" s="538"/>
      <c r="F31" s="538"/>
      <c r="G31" s="539"/>
      <c r="H31" s="538"/>
    </row>
    <row r="32" spans="1:9" s="210" customFormat="1" ht="14.25">
      <c r="A32" s="519" t="s">
        <v>26</v>
      </c>
      <c r="B32" s="520" t="s">
        <v>27</v>
      </c>
      <c r="C32" s="521">
        <f>C33+C37+C40</f>
        <v>61411.829999999994</v>
      </c>
      <c r="D32" s="521">
        <f>D33+D37+D40</f>
        <v>67051.486014000009</v>
      </c>
      <c r="E32" s="536">
        <f>E33+E37+E40</f>
        <v>69024.779799999989</v>
      </c>
      <c r="F32" s="536">
        <f t="shared" si="2"/>
        <v>7612.9497999999949</v>
      </c>
      <c r="G32" s="537">
        <f>E32/C32</f>
        <v>1.1239655258604082</v>
      </c>
      <c r="H32" s="536">
        <f>H33+H37+H40</f>
        <v>69249.739799999996</v>
      </c>
      <c r="I32" s="218"/>
    </row>
    <row r="33" spans="1:12">
      <c r="A33" s="522">
        <v>1</v>
      </c>
      <c r="B33" s="523" t="s">
        <v>155</v>
      </c>
      <c r="C33" s="429">
        <f>C25</f>
        <v>61411.829999999994</v>
      </c>
      <c r="D33" s="429">
        <f>D25</f>
        <v>67051.486014000009</v>
      </c>
      <c r="E33" s="538">
        <f>E25</f>
        <v>69024.779799999989</v>
      </c>
      <c r="F33" s="538">
        <f t="shared" si="2"/>
        <v>7612.9497999999949</v>
      </c>
      <c r="G33" s="539">
        <f>E33/C33</f>
        <v>1.1239655258604082</v>
      </c>
      <c r="H33" s="538">
        <f>H25</f>
        <v>69249.739799999996</v>
      </c>
      <c r="J33" s="435">
        <f>H33-51</f>
        <v>69198.739799999996</v>
      </c>
      <c r="L33" s="653"/>
    </row>
    <row r="34" spans="1:12">
      <c r="A34" s="527" t="s">
        <v>20</v>
      </c>
      <c r="B34" s="523" t="s">
        <v>400</v>
      </c>
      <c r="C34" s="429">
        <v>5000</v>
      </c>
      <c r="D34" s="429">
        <v>5000</v>
      </c>
      <c r="E34" s="538">
        <v>8640</v>
      </c>
      <c r="F34" s="538">
        <f t="shared" si="2"/>
        <v>3640</v>
      </c>
      <c r="G34" s="539">
        <f>E34/C34</f>
        <v>1.728</v>
      </c>
      <c r="H34" s="538">
        <v>8640</v>
      </c>
    </row>
    <row r="35" spans="1:12">
      <c r="A35" s="527" t="s">
        <v>20</v>
      </c>
      <c r="B35" s="523" t="s">
        <v>85</v>
      </c>
      <c r="C35" s="429">
        <v>55305.83</v>
      </c>
      <c r="D35" s="429">
        <v>60945</v>
      </c>
      <c r="E35" s="538">
        <v>59171</v>
      </c>
      <c r="F35" s="538">
        <f t="shared" si="2"/>
        <v>3865.1699999999983</v>
      </c>
      <c r="G35" s="539">
        <f>E35/C35</f>
        <v>1.0698872071895493</v>
      </c>
      <c r="H35" s="538">
        <f>'41'!L76</f>
        <v>59344.74</v>
      </c>
      <c r="J35" s="435">
        <f>H35-51</f>
        <v>59293.74</v>
      </c>
    </row>
    <row r="36" spans="1:12">
      <c r="A36" s="527" t="s">
        <v>20</v>
      </c>
      <c r="B36" s="523" t="s">
        <v>67</v>
      </c>
      <c r="C36" s="429">
        <v>1106</v>
      </c>
      <c r="D36" s="429">
        <v>1106</v>
      </c>
      <c r="E36" s="538">
        <v>1214</v>
      </c>
      <c r="F36" s="538">
        <f t="shared" si="2"/>
        <v>108</v>
      </c>
      <c r="G36" s="539">
        <f>E36/C36</f>
        <v>1.0976491862567812</v>
      </c>
      <c r="H36" s="538">
        <v>1214</v>
      </c>
    </row>
    <row r="37" spans="1:12">
      <c r="A37" s="522">
        <v>2</v>
      </c>
      <c r="B37" s="523" t="s">
        <v>36</v>
      </c>
      <c r="C37" s="429">
        <f>SUM(C38:C39)</f>
        <v>0</v>
      </c>
      <c r="D37" s="429">
        <f>SUM(D38:D39)</f>
        <v>0</v>
      </c>
      <c r="E37" s="538"/>
      <c r="F37" s="538"/>
      <c r="G37" s="539"/>
      <c r="H37" s="538"/>
      <c r="K37" s="435">
        <f>J35-J38</f>
        <v>-81</v>
      </c>
    </row>
    <row r="38" spans="1:12">
      <c r="A38" s="522" t="s">
        <v>20</v>
      </c>
      <c r="B38" s="523" t="s">
        <v>29</v>
      </c>
      <c r="C38" s="429"/>
      <c r="D38" s="429"/>
      <c r="E38" s="538"/>
      <c r="F38" s="538">
        <f t="shared" si="2"/>
        <v>0</v>
      </c>
      <c r="G38" s="539"/>
      <c r="H38" s="538"/>
      <c r="J38" s="201">
        <f>60588.74-1214</f>
        <v>59374.74</v>
      </c>
    </row>
    <row r="39" spans="1:12">
      <c r="A39" s="522" t="s">
        <v>20</v>
      </c>
      <c r="B39" s="523" t="s">
        <v>30</v>
      </c>
      <c r="C39" s="429"/>
      <c r="D39" s="429"/>
      <c r="E39" s="538"/>
      <c r="F39" s="538">
        <f t="shared" si="2"/>
        <v>0</v>
      </c>
      <c r="G39" s="539"/>
      <c r="H39" s="538"/>
    </row>
    <row r="40" spans="1:12">
      <c r="A40" s="528">
        <v>3</v>
      </c>
      <c r="B40" s="529" t="s">
        <v>31</v>
      </c>
      <c r="C40" s="530"/>
      <c r="D40" s="530"/>
      <c r="E40" s="530"/>
      <c r="F40" s="530">
        <f t="shared" si="2"/>
        <v>0</v>
      </c>
      <c r="G40" s="531"/>
      <c r="H40" s="535"/>
    </row>
    <row r="41" spans="1:12" ht="28.5" hidden="1" customHeight="1">
      <c r="A41" s="723" t="s">
        <v>632</v>
      </c>
      <c r="B41" s="723"/>
      <c r="C41" s="723"/>
      <c r="D41" s="723"/>
      <c r="E41" s="723"/>
      <c r="F41" s="723"/>
      <c r="G41" s="723"/>
      <c r="H41" s="532"/>
    </row>
    <row r="42" spans="1:12" ht="18.75" hidden="1" customHeight="1">
      <c r="A42" s="227" t="s">
        <v>37</v>
      </c>
    </row>
    <row r="43" spans="1:12" ht="30.75" hidden="1" customHeight="1">
      <c r="A43" s="724" t="s">
        <v>0</v>
      </c>
      <c r="B43" s="725"/>
      <c r="C43" s="725"/>
      <c r="D43" s="725"/>
      <c r="E43" s="725"/>
      <c r="F43" s="725"/>
      <c r="G43" s="725"/>
      <c r="H43" s="533"/>
    </row>
    <row r="44" spans="1:12" ht="18.75" customHeight="1">
      <c r="A44" s="228"/>
    </row>
    <row r="45" spans="1:12" ht="18.75" customHeight="1"/>
    <row r="46" spans="1:12" ht="18.75" customHeight="1"/>
    <row r="47" spans="1:12" ht="18.75" customHeight="1"/>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mergeCells count="13">
    <mergeCell ref="A41:G41"/>
    <mergeCell ref="A43:G43"/>
    <mergeCell ref="F4:G4"/>
    <mergeCell ref="A4:A5"/>
    <mergeCell ref="B4:B5"/>
    <mergeCell ref="C4:C5"/>
    <mergeCell ref="D4:D5"/>
    <mergeCell ref="E4:E5"/>
    <mergeCell ref="A1:B1"/>
    <mergeCell ref="F3:G3"/>
    <mergeCell ref="H4:H5"/>
    <mergeCell ref="A2:H2"/>
    <mergeCell ref="E1:H1"/>
  </mergeCells>
  <phoneticPr fontId="16" type="noConversion"/>
  <printOptions horizontalCentered="1"/>
  <pageMargins left="0.5" right="0.25" top="0.5" bottom="0.5" header="0.31496062992126" footer="0.31496062992126"/>
  <pageSetup paperSize="9" scale="95" orientation="portrait"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BreakPreview" topLeftCell="A11" zoomScale="80" zoomScaleNormal="100" zoomScaleSheetLayoutView="80" workbookViewId="0">
      <selection activeCell="I4" sqref="A4:XFD4"/>
    </sheetView>
  </sheetViews>
  <sheetFormatPr defaultRowHeight="15"/>
  <cols>
    <col min="1" max="1" width="4.5703125" style="2" customWidth="1"/>
    <col min="2" max="2" width="24.7109375" style="2" customWidth="1"/>
    <col min="3" max="3" width="12.28515625" style="2" hidden="1" customWidth="1"/>
    <col min="4" max="4" width="13.42578125" style="2" hidden="1" customWidth="1"/>
    <col min="5" max="5" width="9.85546875" style="2" hidden="1" customWidth="1"/>
    <col min="6" max="6" width="10.85546875" style="2" hidden="1" customWidth="1"/>
    <col min="7" max="8" width="10.42578125" style="2" bestFit="1" customWidth="1"/>
    <col min="9" max="9" width="11.140625" style="2" customWidth="1"/>
    <col min="10" max="10" width="10.42578125" style="2" bestFit="1" customWidth="1"/>
    <col min="11" max="12" width="10" style="2" hidden="1" customWidth="1"/>
    <col min="13" max="13" width="10.28515625" style="2" customWidth="1"/>
    <col min="14" max="14" width="11" style="2" customWidth="1"/>
    <col min="15" max="15" width="11.85546875" style="2" customWidth="1"/>
    <col min="16" max="16" width="11.5703125" style="2" customWidth="1"/>
    <col min="17" max="16384" width="9.140625" style="2"/>
  </cols>
  <sheetData>
    <row r="1" spans="1:18">
      <c r="A1" s="655" t="s">
        <v>406</v>
      </c>
      <c r="B1" s="655"/>
      <c r="C1" s="655"/>
      <c r="D1" s="655"/>
      <c r="E1" s="655"/>
      <c r="F1" s="655"/>
      <c r="G1" s="655"/>
      <c r="H1" s="655"/>
      <c r="I1" s="655"/>
      <c r="J1" s="655"/>
      <c r="K1" s="655"/>
      <c r="L1" s="655"/>
      <c r="M1" s="655"/>
      <c r="N1" s="655"/>
      <c r="O1" s="655"/>
      <c r="P1" s="655"/>
    </row>
    <row r="2" spans="1:18">
      <c r="A2" s="63"/>
      <c r="N2" s="729" t="s">
        <v>9</v>
      </c>
      <c r="O2" s="729"/>
      <c r="P2" s="729"/>
      <c r="Q2" s="541"/>
      <c r="R2" s="541"/>
    </row>
    <row r="3" spans="1:18" ht="33" customHeight="1">
      <c r="A3" s="731" t="s">
        <v>10</v>
      </c>
      <c r="B3" s="731" t="s">
        <v>39</v>
      </c>
      <c r="C3" s="735" t="s">
        <v>340</v>
      </c>
      <c r="D3" s="736"/>
      <c r="E3" s="733" t="s">
        <v>388</v>
      </c>
      <c r="F3" s="733"/>
      <c r="G3" s="737" t="s">
        <v>676</v>
      </c>
      <c r="H3" s="738"/>
      <c r="I3" s="738"/>
      <c r="J3" s="739"/>
      <c r="K3" s="731" t="s">
        <v>40</v>
      </c>
      <c r="L3" s="735"/>
      <c r="M3" s="730" t="s">
        <v>653</v>
      </c>
      <c r="N3" s="730"/>
      <c r="O3" s="730"/>
      <c r="P3" s="730"/>
      <c r="Q3" s="190"/>
      <c r="R3" s="190"/>
    </row>
    <row r="4" spans="1:18" s="61" customFormat="1" ht="18" customHeight="1">
      <c r="A4" s="732"/>
      <c r="B4" s="732"/>
      <c r="C4" s="740" t="s">
        <v>41</v>
      </c>
      <c r="D4" s="743" t="s">
        <v>42</v>
      </c>
      <c r="E4" s="745" t="s">
        <v>41</v>
      </c>
      <c r="F4" s="748" t="s">
        <v>42</v>
      </c>
      <c r="G4" s="734" t="s">
        <v>407</v>
      </c>
      <c r="H4" s="734"/>
      <c r="I4" s="734" t="s">
        <v>408</v>
      </c>
      <c r="J4" s="734"/>
      <c r="K4" s="750" t="s">
        <v>41</v>
      </c>
      <c r="L4" s="753" t="s">
        <v>42</v>
      </c>
      <c r="M4" s="734" t="s">
        <v>407</v>
      </c>
      <c r="N4" s="734"/>
      <c r="O4" s="734" t="s">
        <v>408</v>
      </c>
      <c r="P4" s="734"/>
    </row>
    <row r="5" spans="1:18" s="61" customFormat="1" ht="15" customHeight="1">
      <c r="A5" s="731"/>
      <c r="B5" s="731"/>
      <c r="C5" s="741"/>
      <c r="D5" s="744"/>
      <c r="E5" s="746"/>
      <c r="F5" s="749"/>
      <c r="G5" s="734" t="s">
        <v>43</v>
      </c>
      <c r="H5" s="542" t="s">
        <v>42</v>
      </c>
      <c r="I5" s="734" t="s">
        <v>43</v>
      </c>
      <c r="J5" s="542" t="s">
        <v>42</v>
      </c>
      <c r="K5" s="751"/>
      <c r="L5" s="754"/>
      <c r="M5" s="734" t="s">
        <v>43</v>
      </c>
      <c r="N5" s="542" t="s">
        <v>42</v>
      </c>
      <c r="O5" s="734" t="s">
        <v>43</v>
      </c>
      <c r="P5" s="542" t="s">
        <v>42</v>
      </c>
    </row>
    <row r="6" spans="1:18" s="61" customFormat="1" ht="38.25" customHeight="1">
      <c r="A6" s="731"/>
      <c r="B6" s="731"/>
      <c r="C6" s="742"/>
      <c r="D6" s="175" t="s">
        <v>44</v>
      </c>
      <c r="E6" s="747"/>
      <c r="F6" s="176" t="s">
        <v>44</v>
      </c>
      <c r="G6" s="734"/>
      <c r="H6" s="542" t="s">
        <v>44</v>
      </c>
      <c r="I6" s="734"/>
      <c r="J6" s="542" t="s">
        <v>44</v>
      </c>
      <c r="K6" s="752"/>
      <c r="L6" s="543" t="s">
        <v>44</v>
      </c>
      <c r="M6" s="734"/>
      <c r="N6" s="542" t="s">
        <v>44</v>
      </c>
      <c r="O6" s="734"/>
      <c r="P6" s="542" t="s">
        <v>44</v>
      </c>
    </row>
    <row r="7" spans="1:18">
      <c r="A7" s="162" t="s">
        <v>14</v>
      </c>
      <c r="B7" s="162" t="s">
        <v>15</v>
      </c>
      <c r="C7" s="162">
        <v>1</v>
      </c>
      <c r="D7" s="162">
        <v>2</v>
      </c>
      <c r="E7" s="162">
        <v>3</v>
      </c>
      <c r="F7" s="162">
        <v>4</v>
      </c>
      <c r="G7" s="177">
        <v>1</v>
      </c>
      <c r="H7" s="177">
        <v>2</v>
      </c>
      <c r="I7" s="177">
        <v>3</v>
      </c>
      <c r="J7" s="177">
        <v>4</v>
      </c>
      <c r="K7" s="162">
        <v>9</v>
      </c>
      <c r="L7" s="162">
        <v>10</v>
      </c>
      <c r="M7" s="177">
        <v>5</v>
      </c>
      <c r="N7" s="177">
        <v>6</v>
      </c>
      <c r="O7" s="177">
        <v>7</v>
      </c>
      <c r="P7" s="177">
        <v>8</v>
      </c>
    </row>
    <row r="8" spans="1:18" s="201" customFormat="1" ht="25.5" customHeight="1">
      <c r="A8" s="465"/>
      <c r="B8" s="466" t="s">
        <v>628</v>
      </c>
      <c r="C8" s="467">
        <f t="shared" ref="C8:D8" si="0">SUM(C9:C19)</f>
        <v>144370</v>
      </c>
      <c r="D8" s="467">
        <f t="shared" si="0"/>
        <v>144370</v>
      </c>
      <c r="E8" s="467">
        <f t="shared" ref="E8:F8" si="1">SUM(E9:E19)</f>
        <v>140276</v>
      </c>
      <c r="F8" s="467">
        <f t="shared" si="1"/>
        <v>140276</v>
      </c>
      <c r="G8" s="546">
        <f t="shared" ref="G8:H8" si="2">SUM(G9:G19)</f>
        <v>117820</v>
      </c>
      <c r="H8" s="546">
        <f t="shared" si="2"/>
        <v>117820</v>
      </c>
      <c r="I8" s="546">
        <f t="shared" ref="I8" si="3">SUM(I9:I19)</f>
        <v>216220</v>
      </c>
      <c r="J8" s="546">
        <f>SUM(J9:J19)</f>
        <v>216220</v>
      </c>
      <c r="K8" s="547">
        <f>G8/E8</f>
        <v>0.83991559496991641</v>
      </c>
      <c r="L8" s="547">
        <f t="shared" ref="L8" si="4">H8/F8</f>
        <v>0.83991559496991641</v>
      </c>
      <c r="M8" s="546">
        <f t="shared" ref="M8:O8" si="5">SUM(M9:M19)</f>
        <v>117820</v>
      </c>
      <c r="N8" s="546">
        <f t="shared" si="5"/>
        <v>117820</v>
      </c>
      <c r="O8" s="546">
        <f t="shared" si="5"/>
        <v>216220</v>
      </c>
      <c r="P8" s="546">
        <f>SUM(P9:P19)</f>
        <v>216220</v>
      </c>
    </row>
    <row r="9" spans="1:18" ht="35.25" customHeight="1">
      <c r="A9" s="167">
        <v>1</v>
      </c>
      <c r="B9" s="544" t="s">
        <v>157</v>
      </c>
      <c r="C9" s="179">
        <f t="shared" ref="C9:C19" si="6">SUM(D9:D9)</f>
        <v>58771</v>
      </c>
      <c r="D9" s="179">
        <v>58771</v>
      </c>
      <c r="E9" s="179">
        <f t="shared" ref="E9:E19" si="7">SUM(F9:F9)</f>
        <v>49900</v>
      </c>
      <c r="F9" s="179">
        <v>49900</v>
      </c>
      <c r="G9" s="548">
        <f t="shared" ref="G9:G19" si="8">SUM(H9:H9)</f>
        <v>29546</v>
      </c>
      <c r="H9" s="548">
        <f>'[7]THU NSX'!$C$13</f>
        <v>29546</v>
      </c>
      <c r="I9" s="548">
        <v>53446</v>
      </c>
      <c r="J9" s="548">
        <f>I9</f>
        <v>53446</v>
      </c>
      <c r="K9" s="549">
        <f>I9/E9</f>
        <v>1.071062124248497</v>
      </c>
      <c r="L9" s="549">
        <f>J9/F9</f>
        <v>1.071062124248497</v>
      </c>
      <c r="M9" s="548">
        <f t="shared" ref="M9:M19" si="9">SUM(N9:N9)</f>
        <v>29546</v>
      </c>
      <c r="N9" s="548">
        <f>'[7]THU NSX'!$C$13</f>
        <v>29546</v>
      </c>
      <c r="O9" s="548">
        <v>53446</v>
      </c>
      <c r="P9" s="548">
        <f>O9</f>
        <v>53446</v>
      </c>
    </row>
    <row r="10" spans="1:18" ht="35.25" customHeight="1">
      <c r="A10" s="167">
        <v>2</v>
      </c>
      <c r="B10" s="544" t="s">
        <v>158</v>
      </c>
      <c r="C10" s="179">
        <f t="shared" si="6"/>
        <v>539</v>
      </c>
      <c r="D10" s="179">
        <f>'[8]Thu NSX'!$C$15</f>
        <v>539</v>
      </c>
      <c r="E10" s="179">
        <f t="shared" si="7"/>
        <v>672</v>
      </c>
      <c r="F10" s="179">
        <v>672</v>
      </c>
      <c r="G10" s="548">
        <f t="shared" si="8"/>
        <v>508</v>
      </c>
      <c r="H10" s="548">
        <f>'[7]THU NSX'!$C$15</f>
        <v>508</v>
      </c>
      <c r="I10" s="548">
        <v>508</v>
      </c>
      <c r="J10" s="548">
        <f t="shared" ref="J10:J18" si="10">I10</f>
        <v>508</v>
      </c>
      <c r="K10" s="549">
        <f t="shared" ref="K10:K19" si="11">I10/E10</f>
        <v>0.75595238095238093</v>
      </c>
      <c r="L10" s="549">
        <f t="shared" ref="L10:L19" si="12">J10/F10</f>
        <v>0.75595238095238093</v>
      </c>
      <c r="M10" s="548">
        <f t="shared" si="9"/>
        <v>508</v>
      </c>
      <c r="N10" s="548">
        <f>'[7]THU NSX'!$C$15</f>
        <v>508</v>
      </c>
      <c r="O10" s="548">
        <v>508</v>
      </c>
      <c r="P10" s="548">
        <f t="shared" ref="P10:P18" si="13">O10</f>
        <v>508</v>
      </c>
    </row>
    <row r="11" spans="1:18" ht="35.25" customHeight="1">
      <c r="A11" s="167">
        <v>3</v>
      </c>
      <c r="B11" s="544" t="s">
        <v>159</v>
      </c>
      <c r="C11" s="179">
        <f t="shared" si="6"/>
        <v>474</v>
      </c>
      <c r="D11" s="179">
        <f>'[8]Thu NSX'!$C$17</f>
        <v>474</v>
      </c>
      <c r="E11" s="179">
        <f t="shared" si="7"/>
        <v>856</v>
      </c>
      <c r="F11" s="179">
        <v>856</v>
      </c>
      <c r="G11" s="548">
        <f t="shared" si="8"/>
        <v>479</v>
      </c>
      <c r="H11" s="548">
        <f>'[7]THU NSX'!$C$17</f>
        <v>479</v>
      </c>
      <c r="I11" s="548">
        <v>479</v>
      </c>
      <c r="J11" s="548">
        <f t="shared" si="10"/>
        <v>479</v>
      </c>
      <c r="K11" s="549">
        <f t="shared" si="11"/>
        <v>0.55957943925233644</v>
      </c>
      <c r="L11" s="549">
        <f t="shared" si="12"/>
        <v>0.55957943925233644</v>
      </c>
      <c r="M11" s="548">
        <f t="shared" si="9"/>
        <v>479</v>
      </c>
      <c r="N11" s="548">
        <f>'[7]THU NSX'!$C$17</f>
        <v>479</v>
      </c>
      <c r="O11" s="548">
        <v>479</v>
      </c>
      <c r="P11" s="548">
        <f t="shared" si="13"/>
        <v>479</v>
      </c>
    </row>
    <row r="12" spans="1:18" ht="35.25" customHeight="1">
      <c r="A12" s="167">
        <v>4</v>
      </c>
      <c r="B12" s="544" t="s">
        <v>160</v>
      </c>
      <c r="C12" s="179">
        <f t="shared" si="6"/>
        <v>23869</v>
      </c>
      <c r="D12" s="179">
        <f>'[8]Thu NSX'!$C$16</f>
        <v>23869</v>
      </c>
      <c r="E12" s="179">
        <f t="shared" si="7"/>
        <v>27755</v>
      </c>
      <c r="F12" s="179">
        <v>27755</v>
      </c>
      <c r="G12" s="548">
        <f t="shared" si="8"/>
        <v>26036</v>
      </c>
      <c r="H12" s="548">
        <f>'[7]THU NSX'!$C$16</f>
        <v>26036</v>
      </c>
      <c r="I12" s="548">
        <v>27301</v>
      </c>
      <c r="J12" s="548">
        <f t="shared" si="10"/>
        <v>27301</v>
      </c>
      <c r="K12" s="549">
        <f t="shared" si="11"/>
        <v>0.98364258692127549</v>
      </c>
      <c r="L12" s="549">
        <f t="shared" si="12"/>
        <v>0.98364258692127549</v>
      </c>
      <c r="M12" s="548">
        <f t="shared" si="9"/>
        <v>26036</v>
      </c>
      <c r="N12" s="548">
        <f>'[7]THU NSX'!$C$16</f>
        <v>26036</v>
      </c>
      <c r="O12" s="548">
        <v>27301</v>
      </c>
      <c r="P12" s="548">
        <f t="shared" si="13"/>
        <v>27301</v>
      </c>
    </row>
    <row r="13" spans="1:18" ht="35.25" customHeight="1">
      <c r="A13" s="167">
        <v>5</v>
      </c>
      <c r="B13" s="544" t="s">
        <v>161</v>
      </c>
      <c r="C13" s="179">
        <f t="shared" si="6"/>
        <v>27656</v>
      </c>
      <c r="D13" s="179">
        <f>'[8]Thu NSX'!$C$14</f>
        <v>27656</v>
      </c>
      <c r="E13" s="179">
        <f t="shared" si="7"/>
        <v>35127</v>
      </c>
      <c r="F13" s="179">
        <v>35127</v>
      </c>
      <c r="G13" s="548">
        <f t="shared" si="8"/>
        <v>37151</v>
      </c>
      <c r="H13" s="548">
        <f>'[7]THU NSX'!$C$14</f>
        <v>37151</v>
      </c>
      <c r="I13" s="548">
        <v>37151</v>
      </c>
      <c r="J13" s="548">
        <f t="shared" si="10"/>
        <v>37151</v>
      </c>
      <c r="K13" s="549">
        <f t="shared" si="11"/>
        <v>1.057619494975375</v>
      </c>
      <c r="L13" s="549">
        <f t="shared" si="12"/>
        <v>1.057619494975375</v>
      </c>
      <c r="M13" s="548">
        <f t="shared" si="9"/>
        <v>37151</v>
      </c>
      <c r="N13" s="548">
        <f>'[7]THU NSX'!$C$14</f>
        <v>37151</v>
      </c>
      <c r="O13" s="548">
        <v>37151</v>
      </c>
      <c r="P13" s="548">
        <f t="shared" si="13"/>
        <v>37151</v>
      </c>
    </row>
    <row r="14" spans="1:18" ht="35.25" customHeight="1">
      <c r="A14" s="167">
        <v>6</v>
      </c>
      <c r="B14" s="544" t="s">
        <v>162</v>
      </c>
      <c r="C14" s="179">
        <f t="shared" si="6"/>
        <v>240</v>
      </c>
      <c r="D14" s="179">
        <f>'[8]Thu NSX'!$C$18</f>
        <v>240</v>
      </c>
      <c r="E14" s="179">
        <f t="shared" si="7"/>
        <v>452</v>
      </c>
      <c r="F14" s="179">
        <v>452</v>
      </c>
      <c r="G14" s="548">
        <f t="shared" si="8"/>
        <v>198</v>
      </c>
      <c r="H14" s="548">
        <f>'[7]THU NSX'!$C$18</f>
        <v>198</v>
      </c>
      <c r="I14" s="548">
        <v>798</v>
      </c>
      <c r="J14" s="548">
        <f t="shared" si="10"/>
        <v>798</v>
      </c>
      <c r="K14" s="549">
        <f t="shared" si="11"/>
        <v>1.7654867256637168</v>
      </c>
      <c r="L14" s="549">
        <f t="shared" si="12"/>
        <v>1.7654867256637168</v>
      </c>
      <c r="M14" s="548">
        <f t="shared" si="9"/>
        <v>198</v>
      </c>
      <c r="N14" s="548">
        <f>'[7]THU NSX'!$C$18</f>
        <v>198</v>
      </c>
      <c r="O14" s="548">
        <v>798</v>
      </c>
      <c r="P14" s="548">
        <f t="shared" si="13"/>
        <v>798</v>
      </c>
    </row>
    <row r="15" spans="1:18" ht="35.25" customHeight="1">
      <c r="A15" s="167">
        <v>7</v>
      </c>
      <c r="B15" s="544" t="s">
        <v>163</v>
      </c>
      <c r="C15" s="179">
        <f t="shared" si="6"/>
        <v>820</v>
      </c>
      <c r="D15" s="179">
        <f>'[8]Thu NSX'!$C$19</f>
        <v>820</v>
      </c>
      <c r="E15" s="179">
        <f t="shared" si="7"/>
        <v>713</v>
      </c>
      <c r="F15" s="179">
        <v>713</v>
      </c>
      <c r="G15" s="548">
        <f t="shared" si="8"/>
        <v>635</v>
      </c>
      <c r="H15" s="548">
        <f>'[7]THU NSX'!$C$19</f>
        <v>635</v>
      </c>
      <c r="I15" s="548">
        <v>635</v>
      </c>
      <c r="J15" s="548">
        <f t="shared" si="10"/>
        <v>635</v>
      </c>
      <c r="K15" s="549">
        <f t="shared" si="11"/>
        <v>0.89060308555399714</v>
      </c>
      <c r="L15" s="549">
        <f t="shared" si="12"/>
        <v>0.89060308555399714</v>
      </c>
      <c r="M15" s="548">
        <f t="shared" si="9"/>
        <v>635</v>
      </c>
      <c r="N15" s="548">
        <f>'[7]THU NSX'!$C$19</f>
        <v>635</v>
      </c>
      <c r="O15" s="548">
        <v>635</v>
      </c>
      <c r="P15" s="548">
        <f t="shared" si="13"/>
        <v>635</v>
      </c>
    </row>
    <row r="16" spans="1:18" ht="35.25" customHeight="1">
      <c r="A16" s="167">
        <v>8</v>
      </c>
      <c r="B16" s="544" t="s">
        <v>164</v>
      </c>
      <c r="C16" s="179">
        <f t="shared" si="6"/>
        <v>165</v>
      </c>
      <c r="D16" s="179">
        <f>'[8]Thu NSX'!$C$20</f>
        <v>165</v>
      </c>
      <c r="E16" s="179">
        <f t="shared" si="7"/>
        <v>96</v>
      </c>
      <c r="F16" s="179">
        <v>96</v>
      </c>
      <c r="G16" s="548">
        <f t="shared" si="8"/>
        <v>106</v>
      </c>
      <c r="H16" s="548">
        <f>'[7]THU NSX'!$C$20</f>
        <v>106</v>
      </c>
      <c r="I16" s="548">
        <v>106</v>
      </c>
      <c r="J16" s="548">
        <f t="shared" si="10"/>
        <v>106</v>
      </c>
      <c r="K16" s="549">
        <f t="shared" si="11"/>
        <v>1.1041666666666667</v>
      </c>
      <c r="L16" s="549">
        <f t="shared" si="12"/>
        <v>1.1041666666666667</v>
      </c>
      <c r="M16" s="548">
        <f t="shared" si="9"/>
        <v>106</v>
      </c>
      <c r="N16" s="548">
        <f>'[7]THU NSX'!$C$20</f>
        <v>106</v>
      </c>
      <c r="O16" s="548">
        <v>106</v>
      </c>
      <c r="P16" s="548">
        <f t="shared" si="13"/>
        <v>106</v>
      </c>
    </row>
    <row r="17" spans="1:16" ht="35.25" customHeight="1">
      <c r="A17" s="167">
        <v>9</v>
      </c>
      <c r="B17" s="544" t="s">
        <v>167</v>
      </c>
      <c r="C17" s="179">
        <f t="shared" si="6"/>
        <v>521</v>
      </c>
      <c r="D17" s="179">
        <f>'[8]Thu NSX'!$C$21</f>
        <v>521</v>
      </c>
      <c r="E17" s="179">
        <f t="shared" si="7"/>
        <v>622</v>
      </c>
      <c r="F17" s="179">
        <v>622</v>
      </c>
      <c r="G17" s="548">
        <f t="shared" si="8"/>
        <v>490</v>
      </c>
      <c r="H17" s="548">
        <f>'[7]THU NSX'!$C$21</f>
        <v>490</v>
      </c>
      <c r="I17" s="548">
        <v>490</v>
      </c>
      <c r="J17" s="548">
        <f t="shared" si="10"/>
        <v>490</v>
      </c>
      <c r="K17" s="549">
        <f t="shared" si="11"/>
        <v>0.78778135048231512</v>
      </c>
      <c r="L17" s="549">
        <f t="shared" si="12"/>
        <v>0.78778135048231512</v>
      </c>
      <c r="M17" s="548">
        <f t="shared" si="9"/>
        <v>490</v>
      </c>
      <c r="N17" s="548">
        <f>'[7]THU NSX'!$C$21</f>
        <v>490</v>
      </c>
      <c r="O17" s="548">
        <v>490</v>
      </c>
      <c r="P17" s="548">
        <f t="shared" si="13"/>
        <v>490</v>
      </c>
    </row>
    <row r="18" spans="1:16" ht="35.25" customHeight="1">
      <c r="A18" s="167">
        <v>10</v>
      </c>
      <c r="B18" s="544" t="s">
        <v>165</v>
      </c>
      <c r="C18" s="179">
        <f t="shared" si="6"/>
        <v>11215</v>
      </c>
      <c r="D18" s="179">
        <f>'[8]Thu NSX'!$C$22</f>
        <v>11215</v>
      </c>
      <c r="E18" s="179">
        <f t="shared" si="7"/>
        <v>14298</v>
      </c>
      <c r="F18" s="179">
        <v>14298</v>
      </c>
      <c r="G18" s="548">
        <f t="shared" si="8"/>
        <v>11785</v>
      </c>
      <c r="H18" s="548">
        <f>'[7]THU NSX'!$C$22</f>
        <v>11785</v>
      </c>
      <c r="I18" s="548">
        <v>19520</v>
      </c>
      <c r="J18" s="548">
        <f t="shared" si="10"/>
        <v>19520</v>
      </c>
      <c r="K18" s="549">
        <f t="shared" si="11"/>
        <v>1.3652259057210798</v>
      </c>
      <c r="L18" s="549">
        <f t="shared" si="12"/>
        <v>1.3652259057210798</v>
      </c>
      <c r="M18" s="548">
        <f t="shared" si="9"/>
        <v>11785</v>
      </c>
      <c r="N18" s="548">
        <f>'[7]THU NSX'!$C$22</f>
        <v>11785</v>
      </c>
      <c r="O18" s="548">
        <v>19520</v>
      </c>
      <c r="P18" s="548">
        <f t="shared" si="13"/>
        <v>19520</v>
      </c>
    </row>
    <row r="19" spans="1:16" ht="35.25" customHeight="1">
      <c r="A19" s="171">
        <v>11</v>
      </c>
      <c r="B19" s="545" t="s">
        <v>166</v>
      </c>
      <c r="C19" s="181">
        <f t="shared" si="6"/>
        <v>20100</v>
      </c>
      <c r="D19" s="181">
        <f>'[8]Thu NSX'!$C$23</f>
        <v>20100</v>
      </c>
      <c r="E19" s="181">
        <f t="shared" si="7"/>
        <v>9785</v>
      </c>
      <c r="F19" s="181">
        <v>9785</v>
      </c>
      <c r="G19" s="550">
        <f t="shared" si="8"/>
        <v>10886</v>
      </c>
      <c r="H19" s="550">
        <f>'[7]THU NSX'!$C$23</f>
        <v>10886</v>
      </c>
      <c r="I19" s="550">
        <v>75786</v>
      </c>
      <c r="J19" s="550">
        <f>I19</f>
        <v>75786</v>
      </c>
      <c r="K19" s="551">
        <f t="shared" si="11"/>
        <v>7.7451200817577925</v>
      </c>
      <c r="L19" s="551">
        <f t="shared" si="12"/>
        <v>7.7451200817577925</v>
      </c>
      <c r="M19" s="550">
        <f t="shared" si="9"/>
        <v>10886</v>
      </c>
      <c r="N19" s="550">
        <f>'[7]THU NSX'!$C$23</f>
        <v>10886</v>
      </c>
      <c r="O19" s="550">
        <v>75786</v>
      </c>
      <c r="P19" s="550">
        <f>O19</f>
        <v>75786</v>
      </c>
    </row>
    <row r="20" spans="1:16" hidden="1">
      <c r="A20" s="182" t="s">
        <v>633</v>
      </c>
    </row>
    <row r="21" spans="1:16" hidden="1">
      <c r="A21" s="437" t="s">
        <v>45</v>
      </c>
    </row>
    <row r="22" spans="1:16">
      <c r="A22" s="437"/>
      <c r="F22" s="183"/>
    </row>
    <row r="23" spans="1:16" ht="54.75" customHeight="1">
      <c r="A23" s="437"/>
      <c r="F23" s="15"/>
    </row>
    <row r="24" spans="1:16">
      <c r="A24" s="437"/>
    </row>
    <row r="25" spans="1:16">
      <c r="A25" s="437"/>
    </row>
    <row r="26" spans="1:16">
      <c r="A26" s="184"/>
    </row>
  </sheetData>
  <mergeCells count="23">
    <mergeCell ref="O5:O6"/>
    <mergeCell ref="I4:J4"/>
    <mergeCell ref="K4:K6"/>
    <mergeCell ref="L4:L5"/>
    <mergeCell ref="I5:I6"/>
    <mergeCell ref="M4:N4"/>
    <mergeCell ref="O4:P4"/>
    <mergeCell ref="A1:P1"/>
    <mergeCell ref="N2:P2"/>
    <mergeCell ref="M3:P3"/>
    <mergeCell ref="A3:A6"/>
    <mergeCell ref="B3:B6"/>
    <mergeCell ref="E3:F3"/>
    <mergeCell ref="G5:G6"/>
    <mergeCell ref="C3:D3"/>
    <mergeCell ref="G3:J3"/>
    <mergeCell ref="C4:C6"/>
    <mergeCell ref="D4:D5"/>
    <mergeCell ref="E4:E6"/>
    <mergeCell ref="F4:F5"/>
    <mergeCell ref="G4:H4"/>
    <mergeCell ref="K3:L3"/>
    <mergeCell ref="M5:M6"/>
  </mergeCells>
  <phoneticPr fontId="16" type="noConversion"/>
  <printOptions horizontalCentered="1"/>
  <pageMargins left="0.5" right="0.25" top="0.5" bottom="0.5" header="0.196850393700787" footer="0.196850393700787"/>
  <pageSetup paperSize="9" scale="8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80" zoomScaleNormal="100" zoomScaleSheetLayoutView="80" workbookViewId="0">
      <selection activeCell="I4" sqref="A4:XFD4"/>
    </sheetView>
  </sheetViews>
  <sheetFormatPr defaultRowHeight="15"/>
  <cols>
    <col min="1" max="1" width="5" style="2" customWidth="1"/>
    <col min="2" max="2" width="15.140625" style="2" customWidth="1"/>
    <col min="3" max="3" width="10.28515625" style="2" customWidth="1"/>
    <col min="4" max="8" width="10.85546875" style="2" customWidth="1"/>
    <col min="9" max="9" width="8.7109375" style="2" customWidth="1"/>
    <col min="10" max="15" width="10.85546875" style="2" customWidth="1"/>
    <col min="16" max="16384" width="9.140625" style="2"/>
  </cols>
  <sheetData>
    <row r="1" spans="1:15">
      <c r="A1" s="655" t="s">
        <v>168</v>
      </c>
      <c r="B1" s="655"/>
      <c r="M1" s="655" t="s">
        <v>46</v>
      </c>
      <c r="N1" s="655"/>
      <c r="O1" s="655"/>
    </row>
    <row r="2" spans="1:15">
      <c r="A2" s="655" t="s">
        <v>390</v>
      </c>
      <c r="B2" s="655"/>
      <c r="C2" s="655"/>
      <c r="D2" s="655"/>
      <c r="E2" s="655"/>
      <c r="F2" s="655"/>
      <c r="G2" s="655"/>
      <c r="H2" s="655"/>
      <c r="I2" s="655"/>
      <c r="J2" s="655"/>
      <c r="K2" s="655"/>
      <c r="L2" s="655"/>
      <c r="M2" s="655"/>
      <c r="N2" s="655"/>
      <c r="O2" s="655"/>
    </row>
    <row r="3" spans="1:15">
      <c r="A3" s="63"/>
      <c r="M3" s="758" t="s">
        <v>47</v>
      </c>
      <c r="N3" s="758"/>
      <c r="O3" s="758"/>
    </row>
    <row r="4" spans="1:15">
      <c r="A4" s="731" t="s">
        <v>10</v>
      </c>
      <c r="B4" s="756" t="s">
        <v>48</v>
      </c>
      <c r="C4" s="731" t="s">
        <v>49</v>
      </c>
      <c r="D4" s="756" t="s">
        <v>50</v>
      </c>
      <c r="E4" s="735" t="s">
        <v>42</v>
      </c>
      <c r="F4" s="736"/>
      <c r="G4" s="736"/>
      <c r="H4" s="736"/>
      <c r="I4" s="736"/>
      <c r="J4" s="736"/>
      <c r="K4" s="736"/>
      <c r="L4" s="736"/>
      <c r="M4" s="736"/>
      <c r="N4" s="736"/>
      <c r="O4" s="755"/>
    </row>
    <row r="5" spans="1:15" ht="75">
      <c r="A5" s="731"/>
      <c r="B5" s="757"/>
      <c r="C5" s="731"/>
      <c r="D5" s="757"/>
      <c r="E5" s="185" t="s">
        <v>51</v>
      </c>
      <c r="F5" s="185" t="s">
        <v>52</v>
      </c>
      <c r="G5" s="185" t="s">
        <v>296</v>
      </c>
      <c r="H5" s="185" t="s">
        <v>297</v>
      </c>
      <c r="I5" s="185" t="s">
        <v>298</v>
      </c>
      <c r="J5" s="185" t="s">
        <v>299</v>
      </c>
      <c r="K5" s="185" t="s">
        <v>300</v>
      </c>
      <c r="L5" s="185" t="s">
        <v>402</v>
      </c>
      <c r="M5" s="185" t="s">
        <v>301</v>
      </c>
      <c r="N5" s="185" t="s">
        <v>6</v>
      </c>
      <c r="O5" s="185" t="s">
        <v>7</v>
      </c>
    </row>
    <row r="6" spans="1:15">
      <c r="A6" s="552" t="s">
        <v>14</v>
      </c>
      <c r="B6" s="552" t="s">
        <v>15</v>
      </c>
      <c r="C6" s="552">
        <v>1</v>
      </c>
      <c r="D6" s="552">
        <v>2</v>
      </c>
      <c r="E6" s="552">
        <v>3</v>
      </c>
      <c r="F6" s="552">
        <v>4</v>
      </c>
      <c r="G6" s="552">
        <v>5</v>
      </c>
      <c r="H6" s="552">
        <v>6</v>
      </c>
      <c r="I6" s="552">
        <v>7</v>
      </c>
      <c r="J6" s="552">
        <v>8</v>
      </c>
      <c r="K6" s="552">
        <v>9</v>
      </c>
      <c r="L6" s="552">
        <v>10</v>
      </c>
      <c r="M6" s="552">
        <v>11</v>
      </c>
      <c r="N6" s="552">
        <v>12</v>
      </c>
      <c r="O6" s="552">
        <v>13</v>
      </c>
    </row>
    <row r="7" spans="1:15" s="189" customFormat="1" ht="14.25">
      <c r="A7" s="186"/>
      <c r="B7" s="187" t="s">
        <v>53</v>
      </c>
      <c r="C7" s="188">
        <f>SUM(C8:C18)</f>
        <v>216220</v>
      </c>
      <c r="D7" s="188">
        <f>SUM(D8:D18)</f>
        <v>216220</v>
      </c>
      <c r="E7" s="188">
        <f t="shared" ref="E7" si="0">SUM(E8:E18)</f>
        <v>8540</v>
      </c>
      <c r="F7" s="188">
        <f>SUM(F8:F18)</f>
        <v>510</v>
      </c>
      <c r="G7" s="188">
        <f>SUM(G8:G18)</f>
        <v>90640</v>
      </c>
      <c r="H7" s="188">
        <f t="shared" ref="H7:O7" si="1">SUM(H8:H18)</f>
        <v>4500</v>
      </c>
      <c r="I7" s="188">
        <f t="shared" si="1"/>
        <v>30</v>
      </c>
      <c r="J7" s="188">
        <f t="shared" si="1"/>
        <v>5300</v>
      </c>
      <c r="K7" s="188">
        <f>SUM(K8:K18)</f>
        <v>1350</v>
      </c>
      <c r="L7" s="188">
        <f t="shared" si="1"/>
        <v>101400</v>
      </c>
      <c r="M7" s="188">
        <f t="shared" si="1"/>
        <v>2350</v>
      </c>
      <c r="N7" s="188">
        <f t="shared" si="1"/>
        <v>180</v>
      </c>
      <c r="O7" s="188">
        <f t="shared" si="1"/>
        <v>1420</v>
      </c>
    </row>
    <row r="8" spans="1:15" s="190" customFormat="1" ht="23.25" customHeight="1">
      <c r="A8" s="167">
        <v>1</v>
      </c>
      <c r="B8" s="555" t="s">
        <v>277</v>
      </c>
      <c r="C8" s="179">
        <f>D8</f>
        <v>53346</v>
      </c>
      <c r="D8" s="179">
        <f t="shared" ref="D8:D18" si="2">SUM(E8:O8)</f>
        <v>53346</v>
      </c>
      <c r="E8" s="179">
        <v>200</v>
      </c>
      <c r="F8" s="179">
        <f>210+30+30</f>
        <v>270</v>
      </c>
      <c r="G8" s="179">
        <v>10060</v>
      </c>
      <c r="H8" s="553">
        <f>2500+500</f>
        <v>3000</v>
      </c>
      <c r="I8" s="179">
        <v>27</v>
      </c>
      <c r="J8" s="553">
        <v>2500</v>
      </c>
      <c r="K8" s="553">
        <f>395+100+234</f>
        <v>729</v>
      </c>
      <c r="L8" s="553">
        <v>35000</v>
      </c>
      <c r="M8" s="553">
        <v>330</v>
      </c>
      <c r="N8" s="553"/>
      <c r="O8" s="554">
        <v>1230</v>
      </c>
    </row>
    <row r="9" spans="1:15" ht="23.25" customHeight="1">
      <c r="A9" s="167">
        <v>2</v>
      </c>
      <c r="B9" s="555" t="s">
        <v>161</v>
      </c>
      <c r="C9" s="179">
        <f t="shared" ref="C9:C18" si="3">D9</f>
        <v>37151</v>
      </c>
      <c r="D9" s="179">
        <f t="shared" si="2"/>
        <v>37151</v>
      </c>
      <c r="E9" s="179"/>
      <c r="F9" s="179">
        <v>120</v>
      </c>
      <c r="G9" s="179">
        <v>35170</v>
      </c>
      <c r="H9" s="553">
        <f>30+200</f>
        <v>230</v>
      </c>
      <c r="I9" s="179">
        <v>1</v>
      </c>
      <c r="J9" s="553">
        <v>1000</v>
      </c>
      <c r="K9" s="553">
        <f>110+20</f>
        <v>130</v>
      </c>
      <c r="L9" s="553">
        <v>200</v>
      </c>
      <c r="M9" s="553">
        <v>200</v>
      </c>
      <c r="N9" s="553">
        <v>70</v>
      </c>
      <c r="O9" s="554">
        <v>30</v>
      </c>
    </row>
    <row r="10" spans="1:15" ht="23.25" customHeight="1">
      <c r="A10" s="167">
        <v>3</v>
      </c>
      <c r="B10" s="555" t="s">
        <v>401</v>
      </c>
      <c r="C10" s="179">
        <f t="shared" si="3"/>
        <v>508</v>
      </c>
      <c r="D10" s="179">
        <f t="shared" si="2"/>
        <v>508</v>
      </c>
      <c r="E10" s="179"/>
      <c r="F10" s="179"/>
      <c r="G10" s="179">
        <v>70</v>
      </c>
      <c r="H10" s="553">
        <v>120</v>
      </c>
      <c r="I10" s="179"/>
      <c r="J10" s="553">
        <v>100</v>
      </c>
      <c r="K10" s="553">
        <f>90+5</f>
        <v>95</v>
      </c>
      <c r="L10" s="553">
        <v>100</v>
      </c>
      <c r="M10" s="553">
        <v>20</v>
      </c>
      <c r="N10" s="553"/>
      <c r="O10" s="554">
        <v>3</v>
      </c>
    </row>
    <row r="11" spans="1:15" ht="23.25" customHeight="1">
      <c r="A11" s="167">
        <v>4</v>
      </c>
      <c r="B11" s="555" t="s">
        <v>160</v>
      </c>
      <c r="C11" s="179">
        <f t="shared" si="3"/>
        <v>27401</v>
      </c>
      <c r="D11" s="179">
        <f t="shared" si="2"/>
        <v>27401</v>
      </c>
      <c r="E11" s="179"/>
      <c r="F11" s="179">
        <v>100</v>
      </c>
      <c r="G11" s="179">
        <v>25990</v>
      </c>
      <c r="H11" s="553">
        <v>230</v>
      </c>
      <c r="I11" s="179">
        <v>1</v>
      </c>
      <c r="J11" s="553">
        <v>500</v>
      </c>
      <c r="K11" s="553">
        <f>40+20</f>
        <v>60</v>
      </c>
      <c r="L11" s="553">
        <v>100</v>
      </c>
      <c r="M11" s="553">
        <v>300</v>
      </c>
      <c r="N11" s="553">
        <v>100</v>
      </c>
      <c r="O11" s="554">
        <v>20</v>
      </c>
    </row>
    <row r="12" spans="1:15" ht="23.25" customHeight="1">
      <c r="A12" s="167">
        <v>5</v>
      </c>
      <c r="B12" s="555" t="s">
        <v>159</v>
      </c>
      <c r="C12" s="179">
        <f t="shared" si="3"/>
        <v>479</v>
      </c>
      <c r="D12" s="179">
        <f t="shared" si="2"/>
        <v>479</v>
      </c>
      <c r="E12" s="179"/>
      <c r="F12" s="179"/>
      <c r="G12" s="179">
        <v>20</v>
      </c>
      <c r="H12" s="553">
        <f>230</f>
        <v>230</v>
      </c>
      <c r="I12" s="179">
        <v>1</v>
      </c>
      <c r="J12" s="553">
        <v>100</v>
      </c>
      <c r="K12" s="553">
        <f>15+3</f>
        <v>18</v>
      </c>
      <c r="L12" s="553">
        <v>100</v>
      </c>
      <c r="M12" s="553"/>
      <c r="N12" s="553"/>
      <c r="O12" s="554">
        <v>10</v>
      </c>
    </row>
    <row r="13" spans="1:15" ht="23.25" customHeight="1">
      <c r="A13" s="167">
        <v>6</v>
      </c>
      <c r="B13" s="555" t="s">
        <v>162</v>
      </c>
      <c r="C13" s="179">
        <f t="shared" si="3"/>
        <v>798</v>
      </c>
      <c r="D13" s="179">
        <f t="shared" si="2"/>
        <v>798</v>
      </c>
      <c r="E13" s="179"/>
      <c r="F13" s="179"/>
      <c r="G13" s="179">
        <v>20</v>
      </c>
      <c r="H13" s="553">
        <v>60</v>
      </c>
      <c r="I13" s="179"/>
      <c r="J13" s="553">
        <v>50</v>
      </c>
      <c r="K13" s="553">
        <f>5+3</f>
        <v>8</v>
      </c>
      <c r="L13" s="553">
        <v>650</v>
      </c>
      <c r="M13" s="553">
        <v>0</v>
      </c>
      <c r="N13" s="553"/>
      <c r="O13" s="554">
        <v>10</v>
      </c>
    </row>
    <row r="14" spans="1:15" ht="23.25" customHeight="1">
      <c r="A14" s="167">
        <v>7</v>
      </c>
      <c r="B14" s="555" t="s">
        <v>163</v>
      </c>
      <c r="C14" s="179">
        <f t="shared" si="3"/>
        <v>635</v>
      </c>
      <c r="D14" s="179">
        <f t="shared" si="2"/>
        <v>635</v>
      </c>
      <c r="E14" s="179"/>
      <c r="F14" s="179"/>
      <c r="G14" s="179">
        <v>140</v>
      </c>
      <c r="H14" s="553">
        <v>120</v>
      </c>
      <c r="I14" s="179"/>
      <c r="J14" s="553">
        <v>100</v>
      </c>
      <c r="K14" s="553">
        <f>145+10</f>
        <v>155</v>
      </c>
      <c r="L14" s="553">
        <v>100</v>
      </c>
      <c r="M14" s="553"/>
      <c r="N14" s="553"/>
      <c r="O14" s="554">
        <v>20</v>
      </c>
    </row>
    <row r="15" spans="1:15" ht="23.25" customHeight="1">
      <c r="A15" s="167">
        <v>8</v>
      </c>
      <c r="B15" s="555" t="s">
        <v>164</v>
      </c>
      <c r="C15" s="179">
        <f t="shared" si="3"/>
        <v>106</v>
      </c>
      <c r="D15" s="179">
        <f t="shared" si="2"/>
        <v>106</v>
      </c>
      <c r="E15" s="179"/>
      <c r="F15" s="179"/>
      <c r="G15" s="179">
        <v>10</v>
      </c>
      <c r="H15" s="553">
        <v>30</v>
      </c>
      <c r="I15" s="179"/>
      <c r="J15" s="553">
        <v>50</v>
      </c>
      <c r="K15" s="553">
        <f>10+5</f>
        <v>15</v>
      </c>
      <c r="L15" s="553">
        <v>0</v>
      </c>
      <c r="M15" s="553"/>
      <c r="N15" s="553"/>
      <c r="O15" s="554">
        <v>1</v>
      </c>
    </row>
    <row r="16" spans="1:15" ht="23.25" customHeight="1">
      <c r="A16" s="167">
        <v>9</v>
      </c>
      <c r="B16" s="555" t="s">
        <v>167</v>
      </c>
      <c r="C16" s="179">
        <f t="shared" si="3"/>
        <v>490</v>
      </c>
      <c r="D16" s="179">
        <f t="shared" si="2"/>
        <v>490</v>
      </c>
      <c r="E16" s="179"/>
      <c r="F16" s="179"/>
      <c r="G16" s="179">
        <v>50</v>
      </c>
      <c r="H16" s="553">
        <f>100</f>
        <v>100</v>
      </c>
      <c r="I16" s="179"/>
      <c r="J16" s="553">
        <v>200</v>
      </c>
      <c r="K16" s="553">
        <f>20</f>
        <v>20</v>
      </c>
      <c r="L16" s="553">
        <v>100</v>
      </c>
      <c r="M16" s="553"/>
      <c r="N16" s="553"/>
      <c r="O16" s="554">
        <v>20</v>
      </c>
    </row>
    <row r="17" spans="1:15" ht="23.25" customHeight="1">
      <c r="A17" s="167">
        <v>10</v>
      </c>
      <c r="B17" s="555" t="s">
        <v>165</v>
      </c>
      <c r="C17" s="179">
        <f t="shared" si="3"/>
        <v>19520</v>
      </c>
      <c r="D17" s="179">
        <f t="shared" si="2"/>
        <v>19520</v>
      </c>
      <c r="E17" s="179"/>
      <c r="F17" s="179"/>
      <c r="G17" s="179">
        <v>18580</v>
      </c>
      <c r="H17" s="553">
        <v>130</v>
      </c>
      <c r="I17" s="179"/>
      <c r="J17" s="553">
        <v>200</v>
      </c>
      <c r="K17" s="553">
        <v>30</v>
      </c>
      <c r="L17" s="553">
        <v>50</v>
      </c>
      <c r="M17" s="553">
        <v>500</v>
      </c>
      <c r="N17" s="553"/>
      <c r="O17" s="554">
        <v>30</v>
      </c>
    </row>
    <row r="18" spans="1:15" ht="23.25" customHeight="1">
      <c r="A18" s="167">
        <v>11</v>
      </c>
      <c r="B18" s="555" t="s">
        <v>677</v>
      </c>
      <c r="C18" s="179">
        <f t="shared" si="3"/>
        <v>75786</v>
      </c>
      <c r="D18" s="179">
        <f t="shared" si="2"/>
        <v>75786</v>
      </c>
      <c r="E18" s="179">
        <f>8325+15</f>
        <v>8340</v>
      </c>
      <c r="F18" s="179">
        <f>20</f>
        <v>20</v>
      </c>
      <c r="G18" s="179">
        <v>530</v>
      </c>
      <c r="H18" s="553">
        <v>250</v>
      </c>
      <c r="I18" s="179"/>
      <c r="J18" s="553">
        <v>500</v>
      </c>
      <c r="K18" s="553">
        <v>90</v>
      </c>
      <c r="L18" s="553">
        <v>65000</v>
      </c>
      <c r="M18" s="553">
        <v>1000</v>
      </c>
      <c r="N18" s="553">
        <v>10</v>
      </c>
      <c r="O18" s="554">
        <v>46</v>
      </c>
    </row>
    <row r="19" spans="1:15">
      <c r="A19" s="171"/>
      <c r="B19" s="180"/>
      <c r="C19" s="181"/>
      <c r="D19" s="181"/>
      <c r="E19" s="181"/>
      <c r="F19" s="181"/>
      <c r="G19" s="181"/>
      <c r="H19" s="181"/>
      <c r="I19" s="181"/>
      <c r="J19" s="181"/>
      <c r="K19" s="181"/>
      <c r="L19" s="181"/>
      <c r="M19" s="181"/>
      <c r="N19" s="181"/>
      <c r="O19" s="181"/>
    </row>
    <row r="20" spans="1:15" hidden="1">
      <c r="A20" s="182" t="s">
        <v>633</v>
      </c>
    </row>
    <row r="21" spans="1:15" hidden="1">
      <c r="A21" s="173" t="s">
        <v>54</v>
      </c>
    </row>
    <row r="22" spans="1:15" hidden="1">
      <c r="A22" s="173" t="s">
        <v>55</v>
      </c>
    </row>
    <row r="23" spans="1:15" hidden="1">
      <c r="A23" s="174"/>
    </row>
    <row r="26" spans="1:15">
      <c r="C26" s="15"/>
    </row>
  </sheetData>
  <mergeCells count="9">
    <mergeCell ref="A1:B1"/>
    <mergeCell ref="A2:O2"/>
    <mergeCell ref="A4:A5"/>
    <mergeCell ref="C4:C5"/>
    <mergeCell ref="E4:O4"/>
    <mergeCell ref="D4:D5"/>
    <mergeCell ref="B4:B5"/>
    <mergeCell ref="M3:O3"/>
    <mergeCell ref="M1:O1"/>
  </mergeCells>
  <phoneticPr fontId="16" type="noConversion"/>
  <printOptions horizontalCentered="1"/>
  <pageMargins left="0.5" right="0.25" top="0.5" bottom="0.5" header="0.31496062992126" footer="0.31496062992126"/>
  <pageSetup paperSize="9" scale="85"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8"/>
  <sheetViews>
    <sheetView topLeftCell="A2" workbookViewId="0">
      <pane xSplit="3" ySplit="6" topLeftCell="D8" activePane="bottomRight" state="frozen"/>
      <selection activeCell="I4" sqref="A4:XFD4"/>
      <selection pane="topRight" activeCell="I4" sqref="A4:XFD4"/>
      <selection pane="bottomLeft" activeCell="I4" sqref="A4:XFD4"/>
      <selection pane="bottomRight" activeCell="I4" sqref="A4:XFD4"/>
    </sheetView>
  </sheetViews>
  <sheetFormatPr defaultRowHeight="15"/>
  <cols>
    <col min="1" max="1" width="7" style="201" customWidth="1"/>
    <col min="2" max="2" width="50.28515625" style="201" customWidth="1"/>
    <col min="3" max="3" width="12.7109375" style="201" customWidth="1"/>
    <col min="4" max="4" width="15.28515625" style="427" customWidth="1"/>
    <col min="5" max="5" width="12.140625" style="411" customWidth="1"/>
    <col min="6" max="6" width="12.42578125" style="411" customWidth="1"/>
    <col min="7" max="7" width="16.85546875" style="201" hidden="1" customWidth="1"/>
    <col min="8" max="8" width="0" style="201" hidden="1" customWidth="1"/>
    <col min="9" max="9" width="12.7109375" style="201" customWidth="1"/>
    <col min="10" max="10" width="14.5703125" style="427" customWidth="1"/>
    <col min="11" max="11" width="15.140625" style="427" customWidth="1"/>
    <col min="12" max="12" width="12.42578125" style="427" customWidth="1"/>
    <col min="13" max="14" width="14" style="201" hidden="1" customWidth="1"/>
    <col min="15" max="16384" width="9.140625" style="201"/>
  </cols>
  <sheetData>
    <row r="1" spans="1:14">
      <c r="A1" s="769" t="s">
        <v>170</v>
      </c>
      <c r="B1" s="769"/>
      <c r="C1" s="200"/>
      <c r="D1" s="424"/>
      <c r="E1" s="761" t="s">
        <v>56</v>
      </c>
      <c r="F1" s="761"/>
      <c r="I1" s="200"/>
      <c r="J1" s="424"/>
      <c r="K1" s="761" t="s">
        <v>56</v>
      </c>
      <c r="L1" s="761"/>
    </row>
    <row r="2" spans="1:14">
      <c r="A2" s="717" t="s">
        <v>169</v>
      </c>
      <c r="B2" s="717"/>
      <c r="C2" s="717"/>
      <c r="D2" s="717"/>
      <c r="E2" s="717"/>
      <c r="F2" s="717"/>
      <c r="G2" s="717"/>
      <c r="H2" s="717"/>
      <c r="I2" s="717"/>
      <c r="J2" s="717"/>
      <c r="K2" s="717"/>
      <c r="L2" s="717"/>
    </row>
    <row r="3" spans="1:14">
      <c r="A3" s="717" t="s">
        <v>391</v>
      </c>
      <c r="B3" s="717"/>
      <c r="C3" s="717"/>
      <c r="D3" s="717"/>
      <c r="E3" s="717"/>
      <c r="F3" s="717"/>
      <c r="G3" s="717"/>
      <c r="H3" s="717"/>
      <c r="I3" s="717"/>
      <c r="J3" s="717"/>
      <c r="K3" s="717"/>
      <c r="L3" s="717"/>
    </row>
    <row r="4" spans="1:14" ht="13.5" customHeight="1">
      <c r="A4" s="202"/>
      <c r="C4" s="203"/>
      <c r="D4" s="425"/>
      <c r="E4" s="762"/>
      <c r="F4" s="762"/>
      <c r="G4" s="204"/>
      <c r="I4" s="203"/>
      <c r="J4" s="425"/>
      <c r="K4" s="762" t="s">
        <v>38</v>
      </c>
      <c r="L4" s="762"/>
    </row>
    <row r="5" spans="1:14">
      <c r="A5" s="770" t="s">
        <v>10</v>
      </c>
      <c r="B5" s="770" t="s">
        <v>11</v>
      </c>
      <c r="C5" s="763" t="s">
        <v>678</v>
      </c>
      <c r="D5" s="764"/>
      <c r="E5" s="764"/>
      <c r="F5" s="765"/>
      <c r="I5" s="763" t="s">
        <v>653</v>
      </c>
      <c r="J5" s="764"/>
      <c r="K5" s="764"/>
      <c r="L5" s="765"/>
    </row>
    <row r="6" spans="1:14">
      <c r="A6" s="771"/>
      <c r="B6" s="771"/>
      <c r="C6" s="759" t="s">
        <v>383</v>
      </c>
      <c r="D6" s="766" t="s">
        <v>171</v>
      </c>
      <c r="E6" s="768" t="s">
        <v>42</v>
      </c>
      <c r="F6" s="768"/>
      <c r="G6" s="205"/>
      <c r="I6" s="759" t="s">
        <v>383</v>
      </c>
      <c r="J6" s="766" t="s">
        <v>171</v>
      </c>
      <c r="K6" s="768" t="s">
        <v>42</v>
      </c>
      <c r="L6" s="768"/>
    </row>
    <row r="7" spans="1:14" ht="27.75" customHeight="1">
      <c r="A7" s="770"/>
      <c r="B7" s="770"/>
      <c r="C7" s="760"/>
      <c r="D7" s="767"/>
      <c r="E7" s="409" t="s">
        <v>241</v>
      </c>
      <c r="F7" s="409" t="s">
        <v>242</v>
      </c>
      <c r="G7" s="205"/>
      <c r="I7" s="760"/>
      <c r="J7" s="767"/>
      <c r="K7" s="556" t="s">
        <v>241</v>
      </c>
      <c r="L7" s="556" t="s">
        <v>242</v>
      </c>
      <c r="M7" s="205">
        <f>L12+L26+L34</f>
        <v>69198.740000000005</v>
      </c>
    </row>
    <row r="8" spans="1:14">
      <c r="A8" s="206" t="s">
        <v>14</v>
      </c>
      <c r="B8" s="206" t="s">
        <v>15</v>
      </c>
      <c r="C8" s="575">
        <v>1</v>
      </c>
      <c r="D8" s="426" t="s">
        <v>386</v>
      </c>
      <c r="E8" s="575">
        <v>3</v>
      </c>
      <c r="F8" s="575">
        <v>4</v>
      </c>
      <c r="G8" s="576"/>
      <c r="H8" s="468"/>
      <c r="I8" s="575">
        <v>5</v>
      </c>
      <c r="J8" s="426" t="s">
        <v>679</v>
      </c>
      <c r="K8" s="575">
        <v>7</v>
      </c>
      <c r="L8" s="575">
        <v>8</v>
      </c>
    </row>
    <row r="9" spans="1:14" s="210" customFormat="1" ht="16.5" customHeight="1">
      <c r="A9" s="207"/>
      <c r="B9" s="208" t="s">
        <v>240</v>
      </c>
      <c r="C9" s="558">
        <f t="shared" ref="C9:E9" si="0">C10+C36</f>
        <v>361225</v>
      </c>
      <c r="D9" s="558">
        <f t="shared" si="0"/>
        <v>447546.74979999999</v>
      </c>
      <c r="E9" s="558">
        <f t="shared" si="0"/>
        <v>378521.97</v>
      </c>
      <c r="F9" s="558">
        <f>F10+F36</f>
        <v>69024.779799999989</v>
      </c>
      <c r="G9" s="559"/>
      <c r="H9" s="559"/>
      <c r="I9" s="558">
        <f t="shared" ref="I9:K9" si="1">I10+I36</f>
        <v>361225</v>
      </c>
      <c r="J9" s="558">
        <f t="shared" si="1"/>
        <v>447546.75002000004</v>
      </c>
      <c r="K9" s="558">
        <f t="shared" si="1"/>
        <v>378297.01002000005</v>
      </c>
      <c r="L9" s="558">
        <f>L10+L36</f>
        <v>69249.740000000005</v>
      </c>
      <c r="M9" s="218">
        <f>K9-E9</f>
        <v>-224.95997999992687</v>
      </c>
      <c r="N9" s="218">
        <f>L9-F9</f>
        <v>224.9602000000159</v>
      </c>
    </row>
    <row r="10" spans="1:14" s="210" customFormat="1" ht="16.5" customHeight="1">
      <c r="A10" s="211" t="s">
        <v>14</v>
      </c>
      <c r="B10" s="212" t="s">
        <v>172</v>
      </c>
      <c r="C10" s="560">
        <f>C12+C26+C32+C33+C34+C35</f>
        <v>353127</v>
      </c>
      <c r="D10" s="560">
        <f>D12+D26+D32+D33+D34+D35</f>
        <v>439448.74979999999</v>
      </c>
      <c r="E10" s="560">
        <f>E12+E26+E32+E33+E34+E35</f>
        <v>370474.97</v>
      </c>
      <c r="F10" s="560">
        <f>F12+F26+F32+F33+F34+F35</f>
        <v>68973.779799999989</v>
      </c>
      <c r="G10" s="559"/>
      <c r="H10" s="559"/>
      <c r="I10" s="560">
        <f>I12+I26+I32+I33+I34+I35</f>
        <v>353127</v>
      </c>
      <c r="J10" s="560">
        <f>J12+J26+J32+J33+J34+J35</f>
        <v>439448.75002000004</v>
      </c>
      <c r="K10" s="560">
        <f>K12+K26+K32+K33+K34+K35</f>
        <v>370250.01002000005</v>
      </c>
      <c r="L10" s="560">
        <f>L12+L26+L32+L33+L34+L35</f>
        <v>69198.740000000005</v>
      </c>
      <c r="M10" s="220">
        <f>L12</f>
        <v>8640</v>
      </c>
    </row>
    <row r="11" spans="1:14" ht="47.25" customHeight="1">
      <c r="A11" s="213"/>
      <c r="B11" s="214" t="s">
        <v>173</v>
      </c>
      <c r="C11" s="561"/>
      <c r="D11" s="561"/>
      <c r="E11" s="561"/>
      <c r="F11" s="561"/>
      <c r="G11" s="562"/>
      <c r="H11" s="562"/>
      <c r="I11" s="561"/>
      <c r="J11" s="561"/>
      <c r="K11" s="561"/>
      <c r="L11" s="561"/>
      <c r="M11" s="205"/>
    </row>
    <row r="12" spans="1:14" s="210" customFormat="1" ht="19.5" customHeight="1">
      <c r="A12" s="211" t="s">
        <v>16</v>
      </c>
      <c r="B12" s="212" t="s">
        <v>98</v>
      </c>
      <c r="C12" s="560">
        <f t="shared" ref="C12:F12" si="2">C13</f>
        <v>18392</v>
      </c>
      <c r="D12" s="560">
        <f t="shared" si="2"/>
        <v>97064</v>
      </c>
      <c r="E12" s="560">
        <f t="shared" si="2"/>
        <v>88424</v>
      </c>
      <c r="F12" s="560">
        <f t="shared" si="2"/>
        <v>8640</v>
      </c>
      <c r="G12" s="559"/>
      <c r="H12" s="559"/>
      <c r="I12" s="560">
        <f t="shared" ref="I12:L12" si="3">I13</f>
        <v>18392</v>
      </c>
      <c r="J12" s="560">
        <f t="shared" si="3"/>
        <v>97064</v>
      </c>
      <c r="K12" s="560">
        <f t="shared" si="3"/>
        <v>88424</v>
      </c>
      <c r="L12" s="560">
        <f t="shared" si="3"/>
        <v>8640</v>
      </c>
      <c r="M12" s="220"/>
    </row>
    <row r="13" spans="1:14" s="210" customFormat="1" ht="32.25" customHeight="1">
      <c r="A13" s="211">
        <v>1</v>
      </c>
      <c r="B13" s="212" t="s">
        <v>177</v>
      </c>
      <c r="C13" s="560">
        <f t="shared" ref="C13" si="4">SUM(C14:C17)</f>
        <v>18392</v>
      </c>
      <c r="D13" s="560">
        <f>SUM(D14:D17)</f>
        <v>97064</v>
      </c>
      <c r="E13" s="560">
        <f t="shared" ref="E13:F13" si="5">SUM(E14:E17)</f>
        <v>88424</v>
      </c>
      <c r="F13" s="560">
        <f t="shared" si="5"/>
        <v>8640</v>
      </c>
      <c r="G13" s="559">
        <f>E13-E19-E22-E23</f>
        <v>75930</v>
      </c>
      <c r="H13" s="559"/>
      <c r="I13" s="560">
        <f t="shared" ref="I13" si="6">SUM(I14:I17)</f>
        <v>18392</v>
      </c>
      <c r="J13" s="560">
        <f>SUM(J14:J17)</f>
        <v>97064</v>
      </c>
      <c r="K13" s="560">
        <f t="shared" ref="K13:L13" si="7">SUM(K14:K17)</f>
        <v>88424</v>
      </c>
      <c r="L13" s="560">
        <f t="shared" si="7"/>
        <v>8640</v>
      </c>
      <c r="M13" s="205">
        <f>K12+K41</f>
        <v>95851</v>
      </c>
      <c r="N13" s="210" t="s">
        <v>672</v>
      </c>
    </row>
    <row r="14" spans="1:14" ht="20.25" customHeight="1">
      <c r="A14" s="213" t="s">
        <v>149</v>
      </c>
      <c r="B14" s="215" t="s">
        <v>178</v>
      </c>
      <c r="C14" s="563">
        <f>7832</f>
        <v>7832</v>
      </c>
      <c r="D14" s="563">
        <f>SUM(E14:F14)</f>
        <v>7832</v>
      </c>
      <c r="E14" s="563">
        <f>7832</f>
        <v>7832</v>
      </c>
      <c r="F14" s="561"/>
      <c r="G14" s="562"/>
      <c r="H14" s="562">
        <f>89232-F15</f>
        <v>80592</v>
      </c>
      <c r="I14" s="563">
        <f>7832</f>
        <v>7832</v>
      </c>
      <c r="J14" s="563">
        <f>SUM(K14:L14)</f>
        <v>7832</v>
      </c>
      <c r="K14" s="563">
        <f>7832</f>
        <v>7832</v>
      </c>
      <c r="L14" s="561"/>
      <c r="M14" s="435">
        <f>K26+K38+K47</f>
        <v>266335.51002000005</v>
      </c>
      <c r="N14" s="201" t="s">
        <v>673</v>
      </c>
    </row>
    <row r="15" spans="1:14" ht="20.25" customHeight="1">
      <c r="A15" s="213" t="s">
        <v>150</v>
      </c>
      <c r="B15" s="215" t="s">
        <v>134</v>
      </c>
      <c r="C15" s="563">
        <v>10560</v>
      </c>
      <c r="D15" s="563">
        <f>SUM(E15:F15)</f>
        <v>89232</v>
      </c>
      <c r="E15" s="563">
        <v>80592</v>
      </c>
      <c r="F15" s="563">
        <v>8640</v>
      </c>
      <c r="G15" s="562"/>
      <c r="H15" s="562"/>
      <c r="I15" s="563">
        <v>10560</v>
      </c>
      <c r="J15" s="563">
        <f>SUM(K15:L15)</f>
        <v>89232</v>
      </c>
      <c r="K15" s="563">
        <v>80592</v>
      </c>
      <c r="L15" s="563">
        <v>8640</v>
      </c>
      <c r="M15" s="205">
        <f>K34</f>
        <v>5849</v>
      </c>
      <c r="N15" s="201" t="s">
        <v>674</v>
      </c>
    </row>
    <row r="16" spans="1:14" ht="20.25" customHeight="1">
      <c r="A16" s="213" t="s">
        <v>179</v>
      </c>
      <c r="B16" s="215" t="s">
        <v>180</v>
      </c>
      <c r="C16" s="563"/>
      <c r="D16" s="563"/>
      <c r="E16" s="563"/>
      <c r="F16" s="561"/>
      <c r="G16" s="562"/>
      <c r="H16" s="562"/>
      <c r="I16" s="563"/>
      <c r="J16" s="563"/>
      <c r="K16" s="563"/>
      <c r="L16" s="561"/>
      <c r="M16" s="205">
        <f>K35</f>
        <v>10261.5</v>
      </c>
      <c r="N16" s="201" t="s">
        <v>675</v>
      </c>
    </row>
    <row r="17" spans="1:14" ht="20.25" customHeight="1">
      <c r="A17" s="213" t="s">
        <v>181</v>
      </c>
      <c r="B17" s="215" t="s">
        <v>182</v>
      </c>
      <c r="C17" s="563"/>
      <c r="D17" s="563"/>
      <c r="E17" s="563"/>
      <c r="F17" s="561"/>
      <c r="G17" s="562"/>
      <c r="H17" s="562"/>
      <c r="I17" s="563"/>
      <c r="J17" s="563"/>
      <c r="K17" s="563"/>
      <c r="L17" s="561"/>
    </row>
    <row r="18" spans="1:14" s="210" customFormat="1" ht="18" customHeight="1">
      <c r="A18" s="211" t="s">
        <v>174</v>
      </c>
      <c r="B18" s="212" t="s">
        <v>183</v>
      </c>
      <c r="C18" s="560">
        <f t="shared" ref="C18:F18" si="8">SUM(C19:C23)</f>
        <v>0</v>
      </c>
      <c r="D18" s="560">
        <f>SUM(D19:D23)</f>
        <v>97064</v>
      </c>
      <c r="E18" s="560">
        <f t="shared" si="8"/>
        <v>88424</v>
      </c>
      <c r="F18" s="560">
        <f t="shared" si="8"/>
        <v>8640</v>
      </c>
      <c r="G18" s="559"/>
      <c r="H18" s="559"/>
      <c r="I18" s="560">
        <f t="shared" ref="I18" si="9">SUM(I19:I23)</f>
        <v>0</v>
      </c>
      <c r="J18" s="560">
        <f>SUM(J19:J23)</f>
        <v>97064</v>
      </c>
      <c r="K18" s="560">
        <f t="shared" ref="K18:L18" si="10">SUM(K19:K23)</f>
        <v>88424</v>
      </c>
      <c r="L18" s="560">
        <f t="shared" si="10"/>
        <v>8640</v>
      </c>
    </row>
    <row r="19" spans="1:14" ht="18" customHeight="1">
      <c r="A19" s="217" t="s">
        <v>149</v>
      </c>
      <c r="B19" s="214" t="s">
        <v>59</v>
      </c>
      <c r="C19" s="563"/>
      <c r="D19" s="563">
        <f>SUM(E19:F19)</f>
        <v>2602</v>
      </c>
      <c r="E19" s="563">
        <v>2602</v>
      </c>
      <c r="F19" s="561"/>
      <c r="G19" s="562">
        <f>E13-E19-E22-E23</f>
        <v>75930</v>
      </c>
      <c r="H19" s="562"/>
      <c r="I19" s="563"/>
      <c r="J19" s="563">
        <f>SUM(K19:L19)</f>
        <v>2602</v>
      </c>
      <c r="K19" s="563">
        <v>2602</v>
      </c>
      <c r="L19" s="561"/>
    </row>
    <row r="20" spans="1:14" ht="18" customHeight="1">
      <c r="A20" s="217" t="s">
        <v>150</v>
      </c>
      <c r="B20" s="214" t="s">
        <v>184</v>
      </c>
      <c r="C20" s="563"/>
      <c r="D20" s="563">
        <f>SUM(E20:F20)</f>
        <v>5700</v>
      </c>
      <c r="E20" s="563">
        <v>5700</v>
      </c>
      <c r="F20" s="561"/>
      <c r="G20" s="562"/>
      <c r="H20" s="562"/>
      <c r="I20" s="563"/>
      <c r="J20" s="563">
        <f>SUM(K20:L20)</f>
        <v>5700</v>
      </c>
      <c r="K20" s="563">
        <v>5700</v>
      </c>
      <c r="L20" s="561"/>
    </row>
    <row r="21" spans="1:14" ht="18" customHeight="1">
      <c r="A21" s="217" t="s">
        <v>179</v>
      </c>
      <c r="B21" s="214" t="s">
        <v>186</v>
      </c>
      <c r="C21" s="563"/>
      <c r="D21" s="563">
        <f>SUM(E21:F21)</f>
        <v>78870</v>
      </c>
      <c r="E21" s="563">
        <v>70230</v>
      </c>
      <c r="F21" s="563">
        <f>F15</f>
        <v>8640</v>
      </c>
      <c r="G21" s="562"/>
      <c r="H21" s="562"/>
      <c r="I21" s="563"/>
      <c r="J21" s="563">
        <f>SUM(K21:L21)</f>
        <v>78870</v>
      </c>
      <c r="K21" s="563">
        <v>70230</v>
      </c>
      <c r="L21" s="563">
        <f>L15</f>
        <v>8640</v>
      </c>
    </row>
    <row r="22" spans="1:14" ht="36.75" customHeight="1">
      <c r="A22" s="217" t="s">
        <v>181</v>
      </c>
      <c r="B22" s="215" t="s">
        <v>81</v>
      </c>
      <c r="C22" s="563"/>
      <c r="D22" s="563">
        <f>SUM(E22:F22)</f>
        <v>6200</v>
      </c>
      <c r="E22" s="563">
        <v>6200</v>
      </c>
      <c r="F22" s="563"/>
      <c r="G22" s="562"/>
      <c r="H22" s="562"/>
      <c r="I22" s="563"/>
      <c r="J22" s="563">
        <f>SUM(K22:L22)</f>
        <v>6200</v>
      </c>
      <c r="K22" s="563">
        <v>6200</v>
      </c>
      <c r="L22" s="563"/>
    </row>
    <row r="23" spans="1:14" ht="21.75" customHeight="1">
      <c r="A23" s="217" t="s">
        <v>239</v>
      </c>
      <c r="B23" s="214" t="s">
        <v>187</v>
      </c>
      <c r="C23" s="563"/>
      <c r="D23" s="563">
        <f t="shared" ref="D23" si="11">SUM(E23:F23)</f>
        <v>3692</v>
      </c>
      <c r="E23" s="563">
        <v>3692</v>
      </c>
      <c r="F23" s="561"/>
      <c r="G23" s="562"/>
      <c r="H23" s="562"/>
      <c r="I23" s="563"/>
      <c r="J23" s="563">
        <f t="shared" ref="J23" si="12">SUM(K23:L23)</f>
        <v>3692</v>
      </c>
      <c r="K23" s="563">
        <v>3692</v>
      </c>
      <c r="L23" s="561"/>
    </row>
    <row r="24" spans="1:14" s="210" customFormat="1" ht="62.25" customHeight="1">
      <c r="A24" s="211">
        <v>2</v>
      </c>
      <c r="B24" s="212" t="s">
        <v>61</v>
      </c>
      <c r="C24" s="560">
        <v>0</v>
      </c>
      <c r="D24" s="560">
        <v>0</v>
      </c>
      <c r="E24" s="560">
        <v>0</v>
      </c>
      <c r="F24" s="564">
        <v>0</v>
      </c>
      <c r="G24" s="565"/>
      <c r="H24" s="566"/>
      <c r="I24" s="560">
        <v>0</v>
      </c>
      <c r="J24" s="560">
        <v>0</v>
      </c>
      <c r="K24" s="560">
        <v>0</v>
      </c>
      <c r="L24" s="564">
        <v>0</v>
      </c>
      <c r="M24" s="464"/>
    </row>
    <row r="25" spans="1:14" s="210" customFormat="1" ht="32.25" hidden="1" customHeight="1">
      <c r="A25" s="211">
        <v>3</v>
      </c>
      <c r="B25" s="212" t="s">
        <v>243</v>
      </c>
      <c r="C25" s="567"/>
      <c r="D25" s="567"/>
      <c r="E25" s="567"/>
      <c r="F25" s="567"/>
      <c r="G25" s="559"/>
      <c r="H25" s="559"/>
      <c r="I25" s="567"/>
      <c r="J25" s="567"/>
      <c r="K25" s="567"/>
      <c r="L25" s="567"/>
    </row>
    <row r="26" spans="1:14" s="210" customFormat="1" ht="20.25" customHeight="1">
      <c r="A26" s="211" t="s">
        <v>26</v>
      </c>
      <c r="B26" s="212" t="s">
        <v>85</v>
      </c>
      <c r="C26" s="560">
        <v>327672</v>
      </c>
      <c r="D26" s="560">
        <f>SUM(E26:F26)</f>
        <v>329966.74979999999</v>
      </c>
      <c r="E26" s="560">
        <f>271466.97-620</f>
        <v>270846.96999999997</v>
      </c>
      <c r="F26" s="560">
        <v>59119.779799999997</v>
      </c>
      <c r="G26" s="559"/>
      <c r="H26" s="559"/>
      <c r="I26" s="560">
        <v>327672</v>
      </c>
      <c r="J26" s="560">
        <f>SUM(K26:L26)</f>
        <v>325060.25002000004</v>
      </c>
      <c r="K26" s="560">
        <f>SUM(K27:K31)</f>
        <v>265715.51002000005</v>
      </c>
      <c r="L26" s="560">
        <f>SUM(L27:L31)</f>
        <v>59344.740000000005</v>
      </c>
      <c r="M26" s="218">
        <f>J26-D26</f>
        <v>-4906.4997799999546</v>
      </c>
      <c r="N26" s="220">
        <f>K26+K34+K38+K47+K35</f>
        <v>282446.01002000005</v>
      </c>
    </row>
    <row r="27" spans="1:14" s="210" customFormat="1" ht="20.25" customHeight="1">
      <c r="A27" s="211"/>
      <c r="B27" s="212" t="s">
        <v>63</v>
      </c>
      <c r="C27" s="560"/>
      <c r="D27" s="560"/>
      <c r="E27" s="560"/>
      <c r="F27" s="560"/>
      <c r="G27" s="559"/>
      <c r="H27" s="559"/>
      <c r="I27" s="560"/>
      <c r="J27" s="560"/>
      <c r="K27" s="560"/>
      <c r="L27" s="560"/>
    </row>
    <row r="28" spans="1:14" ht="20.25" customHeight="1">
      <c r="A28" s="217">
        <v>1</v>
      </c>
      <c r="B28" s="214" t="s">
        <v>59</v>
      </c>
      <c r="C28" s="563">
        <v>199650</v>
      </c>
      <c r="D28" s="563">
        <f>SUM(E28:F28)</f>
        <v>196950</v>
      </c>
      <c r="E28" s="563">
        <v>196470</v>
      </c>
      <c r="F28" s="561">
        <v>480</v>
      </c>
      <c r="G28" s="562"/>
      <c r="H28" s="562"/>
      <c r="I28" s="563">
        <v>199650</v>
      </c>
      <c r="J28" s="563">
        <f>SUM(K28:L28)</f>
        <v>194541.7</v>
      </c>
      <c r="K28" s="563">
        <v>194061.7</v>
      </c>
      <c r="L28" s="561">
        <v>480</v>
      </c>
      <c r="M28" s="417">
        <f>K28-E28</f>
        <v>-2408.2999999999884</v>
      </c>
      <c r="N28" s="204">
        <f>L28-F28</f>
        <v>0</v>
      </c>
    </row>
    <row r="29" spans="1:14" ht="20.25" customHeight="1">
      <c r="A29" s="217">
        <v>2</v>
      </c>
      <c r="B29" s="214" t="s">
        <v>60</v>
      </c>
      <c r="C29" s="563">
        <v>150</v>
      </c>
      <c r="D29" s="563">
        <f>SUM(E29:F29)</f>
        <v>150</v>
      </c>
      <c r="E29" s="563">
        <v>150</v>
      </c>
      <c r="F29" s="561">
        <v>0</v>
      </c>
      <c r="G29" s="562"/>
      <c r="H29" s="562"/>
      <c r="I29" s="563">
        <v>150</v>
      </c>
      <c r="J29" s="563">
        <f>SUM(K29:L29)</f>
        <v>150</v>
      </c>
      <c r="K29" s="563">
        <v>150</v>
      </c>
      <c r="L29" s="561">
        <v>0</v>
      </c>
      <c r="M29" s="417">
        <f t="shared" ref="M29:M30" si="13">K29-E29</f>
        <v>0</v>
      </c>
      <c r="N29" s="204">
        <f t="shared" ref="N29:N30" si="14">L29-F29</f>
        <v>0</v>
      </c>
    </row>
    <row r="30" spans="1:14" ht="20.25" customHeight="1">
      <c r="A30" s="217">
        <v>3</v>
      </c>
      <c r="B30" s="214" t="s">
        <v>188</v>
      </c>
      <c r="C30" s="561">
        <v>6399</v>
      </c>
      <c r="D30" s="563">
        <f>SUM(E30:F30)</f>
        <v>6399</v>
      </c>
      <c r="E30" s="561">
        <v>5429</v>
      </c>
      <c r="F30" s="561">
        <v>970</v>
      </c>
      <c r="G30" s="562"/>
      <c r="H30" s="562"/>
      <c r="I30" s="561">
        <v>6399</v>
      </c>
      <c r="J30" s="563">
        <f>SUM(K30:L30)</f>
        <v>6071.2</v>
      </c>
      <c r="K30" s="561">
        <v>5101.2</v>
      </c>
      <c r="L30" s="561">
        <v>970</v>
      </c>
      <c r="M30" s="417">
        <f t="shared" si="13"/>
        <v>-327.80000000000018</v>
      </c>
      <c r="N30" s="204">
        <f t="shared" si="14"/>
        <v>0</v>
      </c>
    </row>
    <row r="31" spans="1:14" ht="20.25" customHeight="1">
      <c r="A31" s="217">
        <v>4</v>
      </c>
      <c r="B31" s="214" t="s">
        <v>189</v>
      </c>
      <c r="C31" s="563">
        <f>108437</f>
        <v>108437</v>
      </c>
      <c r="D31" s="563">
        <f>E31+F31</f>
        <v>126467.74979999999</v>
      </c>
      <c r="E31" s="563">
        <v>68797.97</v>
      </c>
      <c r="F31" s="563">
        <v>57669.779799999997</v>
      </c>
      <c r="G31" s="568"/>
      <c r="H31" s="562"/>
      <c r="I31" s="563">
        <f>108437</f>
        <v>108437</v>
      </c>
      <c r="J31" s="563">
        <f>K31+L31</f>
        <v>124297.35002000001</v>
      </c>
      <c r="K31" s="563">
        <v>66402.610020000007</v>
      </c>
      <c r="L31" s="563">
        <f>'[9]08 XA'!D11-'[9]08 XA'!D29-'[9]08 XA'!D13</f>
        <v>57894.740000000005</v>
      </c>
      <c r="M31" s="417">
        <f>K31-E31</f>
        <v>-2395.3599799999938</v>
      </c>
      <c r="N31" s="204">
        <f>L31-F31</f>
        <v>224.96020000000863</v>
      </c>
    </row>
    <row r="32" spans="1:14" s="210" customFormat="1" ht="18.75" customHeight="1">
      <c r="A32" s="211" t="s">
        <v>32</v>
      </c>
      <c r="B32" s="212" t="s">
        <v>190</v>
      </c>
      <c r="C32" s="567"/>
      <c r="D32" s="561">
        <f t="shared" ref="D32:D33" si="15">SUM(E32:F32)</f>
        <v>0</v>
      </c>
      <c r="E32" s="567"/>
      <c r="F32" s="567"/>
      <c r="G32" s="569"/>
      <c r="H32" s="559"/>
      <c r="I32" s="567"/>
      <c r="J32" s="561">
        <f t="shared" ref="J32:J33" si="16">SUM(K32:L32)</f>
        <v>0</v>
      </c>
      <c r="K32" s="567"/>
      <c r="L32" s="567"/>
    </row>
    <row r="33" spans="1:13" s="210" customFormat="1" ht="18.75" customHeight="1">
      <c r="A33" s="211" t="s">
        <v>64</v>
      </c>
      <c r="B33" s="212" t="s">
        <v>127</v>
      </c>
      <c r="C33" s="567"/>
      <c r="D33" s="561">
        <f t="shared" si="15"/>
        <v>0</v>
      </c>
      <c r="E33" s="567"/>
      <c r="F33" s="567"/>
      <c r="G33" s="559"/>
      <c r="H33" s="559"/>
      <c r="I33" s="567"/>
      <c r="J33" s="561">
        <f t="shared" si="16"/>
        <v>0</v>
      </c>
      <c r="K33" s="567"/>
      <c r="L33" s="567"/>
    </row>
    <row r="34" spans="1:13" s="210" customFormat="1" ht="18.75" customHeight="1">
      <c r="A34" s="211" t="s">
        <v>64</v>
      </c>
      <c r="B34" s="212" t="s">
        <v>67</v>
      </c>
      <c r="C34" s="560">
        <v>7063</v>
      </c>
      <c r="D34" s="560">
        <f>SUM(E34:F34)</f>
        <v>7063</v>
      </c>
      <c r="E34" s="560">
        <v>5849</v>
      </c>
      <c r="F34" s="560">
        <v>1214</v>
      </c>
      <c r="G34" s="559"/>
      <c r="H34" s="559"/>
      <c r="I34" s="560">
        <v>7063</v>
      </c>
      <c r="J34" s="560">
        <f>SUM(K34:L34)</f>
        <v>7063</v>
      </c>
      <c r="K34" s="570">
        <v>5849</v>
      </c>
      <c r="L34" s="560">
        <v>1214</v>
      </c>
    </row>
    <row r="35" spans="1:13" s="210" customFormat="1" ht="18.75" customHeight="1">
      <c r="A35" s="211" t="s">
        <v>66</v>
      </c>
      <c r="B35" s="212" t="s">
        <v>191</v>
      </c>
      <c r="C35" s="567"/>
      <c r="D35" s="560">
        <f>SUM(E35:F35)</f>
        <v>5355</v>
      </c>
      <c r="E35" s="567">
        <v>5355</v>
      </c>
      <c r="F35" s="567"/>
      <c r="G35" s="559"/>
      <c r="H35" s="559"/>
      <c r="I35" s="567"/>
      <c r="J35" s="560">
        <f>SUM(K35:L35)</f>
        <v>10261.5</v>
      </c>
      <c r="K35" s="571">
        <v>10261.5</v>
      </c>
      <c r="L35" s="567"/>
      <c r="M35" s="220">
        <f>K35+K34+K26+K18</f>
        <v>370250.01002000005</v>
      </c>
    </row>
    <row r="36" spans="1:13" s="210" customFormat="1" ht="18.75" customHeight="1">
      <c r="A36" s="211" t="s">
        <v>15</v>
      </c>
      <c r="B36" s="212" t="s">
        <v>192</v>
      </c>
      <c r="C36" s="560">
        <f>C37+C50</f>
        <v>8098</v>
      </c>
      <c r="D36" s="560">
        <f t="shared" ref="D36:F36" si="17">D37+D50</f>
        <v>8098</v>
      </c>
      <c r="E36" s="560">
        <f t="shared" si="17"/>
        <v>8047</v>
      </c>
      <c r="F36" s="560">
        <f t="shared" si="17"/>
        <v>51</v>
      </c>
      <c r="G36" s="559"/>
      <c r="H36" s="559"/>
      <c r="I36" s="560">
        <f>I37+I50</f>
        <v>8098</v>
      </c>
      <c r="J36" s="560">
        <f t="shared" ref="J36:L36" si="18">J37+J50</f>
        <v>8098</v>
      </c>
      <c r="K36" s="560">
        <f t="shared" si="18"/>
        <v>8047</v>
      </c>
      <c r="L36" s="560">
        <f t="shared" si="18"/>
        <v>51</v>
      </c>
    </row>
    <row r="37" spans="1:13" s="210" customFormat="1" ht="32.25" customHeight="1">
      <c r="A37" s="211" t="s">
        <v>16</v>
      </c>
      <c r="B37" s="212" t="s">
        <v>198</v>
      </c>
      <c r="C37" s="560">
        <f t="shared" ref="C37:F37" si="19">C38+C40</f>
        <v>8098</v>
      </c>
      <c r="D37" s="560">
        <f t="shared" si="19"/>
        <v>8098</v>
      </c>
      <c r="E37" s="560">
        <f t="shared" si="19"/>
        <v>8047</v>
      </c>
      <c r="F37" s="560">
        <f t="shared" si="19"/>
        <v>51</v>
      </c>
      <c r="G37" s="559"/>
      <c r="H37" s="559"/>
      <c r="I37" s="560">
        <f t="shared" ref="I37:L37" si="20">I38+I40</f>
        <v>8098</v>
      </c>
      <c r="J37" s="560">
        <f t="shared" si="20"/>
        <v>8098</v>
      </c>
      <c r="K37" s="560">
        <f t="shared" si="20"/>
        <v>8047</v>
      </c>
      <c r="L37" s="560">
        <f t="shared" si="20"/>
        <v>51</v>
      </c>
    </row>
    <row r="38" spans="1:13" s="210" customFormat="1" ht="21.75" customHeight="1">
      <c r="A38" s="211">
        <v>1</v>
      </c>
      <c r="B38" s="212" t="s">
        <v>200</v>
      </c>
      <c r="C38" s="560">
        <f>SUM(C39)</f>
        <v>120</v>
      </c>
      <c r="D38" s="560">
        <f t="shared" ref="D38:F38" si="21">SUM(D39)</f>
        <v>120</v>
      </c>
      <c r="E38" s="560">
        <f t="shared" si="21"/>
        <v>120</v>
      </c>
      <c r="F38" s="560">
        <f t="shared" si="21"/>
        <v>0</v>
      </c>
      <c r="G38" s="559"/>
      <c r="H38" s="559"/>
      <c r="I38" s="560">
        <f>SUM(I39)</f>
        <v>120</v>
      </c>
      <c r="J38" s="560">
        <f t="shared" ref="J38:L38" si="22">SUM(J39)</f>
        <v>120</v>
      </c>
      <c r="K38" s="560">
        <f t="shared" si="22"/>
        <v>120</v>
      </c>
      <c r="L38" s="560">
        <f t="shared" si="22"/>
        <v>0</v>
      </c>
    </row>
    <row r="39" spans="1:13" s="210" customFormat="1" ht="32.25" customHeight="1">
      <c r="A39" s="211" t="s">
        <v>409</v>
      </c>
      <c r="B39" s="108" t="s">
        <v>202</v>
      </c>
      <c r="C39" s="560">
        <v>120</v>
      </c>
      <c r="D39" s="563">
        <f>SUM(E39:F39)</f>
        <v>120</v>
      </c>
      <c r="E39" s="560">
        <v>120</v>
      </c>
      <c r="F39" s="560"/>
      <c r="G39" s="559"/>
      <c r="H39" s="559"/>
      <c r="I39" s="560">
        <v>120</v>
      </c>
      <c r="J39" s="563">
        <f>SUM(K39:L39)</f>
        <v>120</v>
      </c>
      <c r="K39" s="560">
        <v>120</v>
      </c>
      <c r="L39" s="560"/>
    </row>
    <row r="40" spans="1:13" s="210" customFormat="1" ht="19.5" customHeight="1">
      <c r="A40" s="211">
        <v>2</v>
      </c>
      <c r="B40" s="212" t="s">
        <v>204</v>
      </c>
      <c r="C40" s="560">
        <f t="shared" ref="C40:F40" si="23">C41+C47</f>
        <v>7978</v>
      </c>
      <c r="D40" s="560">
        <f t="shared" si="23"/>
        <v>7978</v>
      </c>
      <c r="E40" s="560">
        <f t="shared" si="23"/>
        <v>7927</v>
      </c>
      <c r="F40" s="560">
        <f t="shared" si="23"/>
        <v>51</v>
      </c>
      <c r="G40" s="559"/>
      <c r="H40" s="559"/>
      <c r="I40" s="560">
        <f t="shared" ref="I40:L40" si="24">I41+I47</f>
        <v>7978</v>
      </c>
      <c r="J40" s="560">
        <f t="shared" si="24"/>
        <v>7978</v>
      </c>
      <c r="K40" s="560">
        <f t="shared" si="24"/>
        <v>7927</v>
      </c>
      <c r="L40" s="560">
        <f t="shared" si="24"/>
        <v>51</v>
      </c>
    </row>
    <row r="41" spans="1:13" ht="19.5" customHeight="1">
      <c r="A41" s="213" t="s">
        <v>149</v>
      </c>
      <c r="B41" s="215" t="s">
        <v>201</v>
      </c>
      <c r="C41" s="563">
        <f t="shared" ref="C41:F41" si="25">SUM(C42:C46)</f>
        <v>7427</v>
      </c>
      <c r="D41" s="563">
        <f t="shared" si="25"/>
        <v>7427</v>
      </c>
      <c r="E41" s="563">
        <f t="shared" si="25"/>
        <v>7427</v>
      </c>
      <c r="F41" s="563">
        <f t="shared" si="25"/>
        <v>0</v>
      </c>
      <c r="G41" s="562"/>
      <c r="H41" s="562"/>
      <c r="I41" s="563">
        <f t="shared" ref="I41:L41" si="26">SUM(I42:I46)</f>
        <v>7427</v>
      </c>
      <c r="J41" s="563">
        <f t="shared" si="26"/>
        <v>7427</v>
      </c>
      <c r="K41" s="563">
        <f t="shared" si="26"/>
        <v>7427</v>
      </c>
      <c r="L41" s="563">
        <f t="shared" si="26"/>
        <v>0</v>
      </c>
    </row>
    <row r="42" spans="1:13" ht="33.75" customHeight="1">
      <c r="A42" s="221" t="s">
        <v>20</v>
      </c>
      <c r="B42" s="222" t="s">
        <v>387</v>
      </c>
      <c r="C42" s="563">
        <v>770</v>
      </c>
      <c r="D42" s="563">
        <f>SUM(E42:F42)</f>
        <v>770</v>
      </c>
      <c r="E42" s="563">
        <v>770</v>
      </c>
      <c r="F42" s="561"/>
      <c r="G42" s="562"/>
      <c r="H42" s="562"/>
      <c r="I42" s="563">
        <v>770</v>
      </c>
      <c r="J42" s="563">
        <f>SUM(K42:L42)</f>
        <v>770</v>
      </c>
      <c r="K42" s="563">
        <v>770</v>
      </c>
      <c r="L42" s="561"/>
    </row>
    <row r="43" spans="1:13" s="228" customFormat="1" ht="18.75" customHeight="1">
      <c r="A43" s="221" t="s">
        <v>20</v>
      </c>
      <c r="B43" s="415" t="s">
        <v>205</v>
      </c>
      <c r="C43" s="563"/>
      <c r="D43" s="563">
        <f t="shared" ref="D43:D44" si="27">SUM(E43:F43)</f>
        <v>0</v>
      </c>
      <c r="E43" s="563"/>
      <c r="F43" s="572"/>
      <c r="G43" s="573"/>
      <c r="H43" s="573"/>
      <c r="I43" s="563"/>
      <c r="J43" s="563">
        <f t="shared" ref="J43:J46" si="28">SUM(K43:L43)</f>
        <v>0</v>
      </c>
      <c r="K43" s="563"/>
      <c r="L43" s="572"/>
    </row>
    <row r="44" spans="1:13" s="228" customFormat="1" ht="18.75" customHeight="1">
      <c r="A44" s="221" t="s">
        <v>20</v>
      </c>
      <c r="B44" s="415" t="s">
        <v>403</v>
      </c>
      <c r="C44" s="563">
        <v>2500</v>
      </c>
      <c r="D44" s="563">
        <f t="shared" si="27"/>
        <v>2500</v>
      </c>
      <c r="E44" s="563">
        <v>2500</v>
      </c>
      <c r="F44" s="572"/>
      <c r="G44" s="573"/>
      <c r="H44" s="573"/>
      <c r="I44" s="563">
        <v>2500</v>
      </c>
      <c r="J44" s="563">
        <f t="shared" si="28"/>
        <v>2500</v>
      </c>
      <c r="K44" s="563">
        <v>2500</v>
      </c>
      <c r="L44" s="572"/>
    </row>
    <row r="45" spans="1:13" s="228" customFormat="1" ht="18.75" customHeight="1">
      <c r="A45" s="221" t="s">
        <v>20</v>
      </c>
      <c r="B45" s="415" t="s">
        <v>384</v>
      </c>
      <c r="C45" s="563">
        <v>2330</v>
      </c>
      <c r="D45" s="563">
        <f t="shared" ref="D45:D46" si="29">SUM(E45:F45)</f>
        <v>2330</v>
      </c>
      <c r="E45" s="563">
        <v>2330</v>
      </c>
      <c r="F45" s="572"/>
      <c r="G45" s="573"/>
      <c r="H45" s="573"/>
      <c r="I45" s="563">
        <v>2330</v>
      </c>
      <c r="J45" s="563">
        <f t="shared" si="28"/>
        <v>2330</v>
      </c>
      <c r="K45" s="563">
        <v>2330</v>
      </c>
      <c r="L45" s="572"/>
    </row>
    <row r="46" spans="1:13" s="228" customFormat="1" ht="18.75" customHeight="1">
      <c r="A46" s="221" t="s">
        <v>20</v>
      </c>
      <c r="B46" s="415" t="s">
        <v>206</v>
      </c>
      <c r="C46" s="563">
        <v>1827</v>
      </c>
      <c r="D46" s="563">
        <f t="shared" si="29"/>
        <v>1827</v>
      </c>
      <c r="E46" s="563">
        <v>1827</v>
      </c>
      <c r="F46" s="572"/>
      <c r="G46" s="573"/>
      <c r="H46" s="573"/>
      <c r="I46" s="563">
        <v>1827</v>
      </c>
      <c r="J46" s="563">
        <f t="shared" si="28"/>
        <v>1827</v>
      </c>
      <c r="K46" s="563">
        <v>1827</v>
      </c>
      <c r="L46" s="572"/>
    </row>
    <row r="47" spans="1:13" ht="18.75" customHeight="1">
      <c r="A47" s="213" t="s">
        <v>150</v>
      </c>
      <c r="B47" s="215" t="s">
        <v>197</v>
      </c>
      <c r="C47" s="563">
        <f>SUM(C48:C49)</f>
        <v>551</v>
      </c>
      <c r="D47" s="563">
        <f t="shared" ref="D47:F47" si="30">SUM(D48:D49)</f>
        <v>551</v>
      </c>
      <c r="E47" s="563">
        <f t="shared" si="30"/>
        <v>500</v>
      </c>
      <c r="F47" s="563">
        <f t="shared" si="30"/>
        <v>51</v>
      </c>
      <c r="G47" s="562"/>
      <c r="H47" s="562"/>
      <c r="I47" s="563">
        <f>SUM(I48:I49)</f>
        <v>551</v>
      </c>
      <c r="J47" s="563">
        <f t="shared" ref="J47:L47" si="31">SUM(J48:J49)</f>
        <v>551</v>
      </c>
      <c r="K47" s="563">
        <f t="shared" si="31"/>
        <v>500</v>
      </c>
      <c r="L47" s="563">
        <f t="shared" si="31"/>
        <v>51</v>
      </c>
    </row>
    <row r="48" spans="1:13" ht="18.75" customHeight="1">
      <c r="A48" s="221" t="s">
        <v>20</v>
      </c>
      <c r="B48" s="198" t="s">
        <v>385</v>
      </c>
      <c r="C48" s="563">
        <v>500</v>
      </c>
      <c r="D48" s="563">
        <f>SUM(E48:F48)</f>
        <v>500</v>
      </c>
      <c r="E48" s="563">
        <v>500</v>
      </c>
      <c r="F48" s="561"/>
      <c r="G48" s="562"/>
      <c r="H48" s="562"/>
      <c r="I48" s="563">
        <v>500</v>
      </c>
      <c r="J48" s="563">
        <f>SUM(K48:L48)</f>
        <v>500</v>
      </c>
      <c r="K48" s="563">
        <v>500</v>
      </c>
      <c r="L48" s="561"/>
    </row>
    <row r="49" spans="1:12" ht="18.75" customHeight="1">
      <c r="A49" s="221" t="s">
        <v>20</v>
      </c>
      <c r="B49" s="198" t="s">
        <v>404</v>
      </c>
      <c r="C49" s="563">
        <v>51</v>
      </c>
      <c r="D49" s="563">
        <f>SUM(E49:F49)</f>
        <v>51</v>
      </c>
      <c r="E49" s="563"/>
      <c r="F49" s="561">
        <v>51</v>
      </c>
      <c r="G49" s="562"/>
      <c r="H49" s="562"/>
      <c r="I49" s="563">
        <v>51</v>
      </c>
      <c r="J49" s="563">
        <f>SUM(K49:L49)</f>
        <v>51</v>
      </c>
      <c r="K49" s="563"/>
      <c r="L49" s="561">
        <v>51</v>
      </c>
    </row>
    <row r="50" spans="1:12" s="210" customFormat="1" ht="32.25" customHeight="1">
      <c r="A50" s="223">
        <v>3</v>
      </c>
      <c r="B50" s="224" t="s">
        <v>211</v>
      </c>
      <c r="C50" s="574">
        <f>SUM(C51)</f>
        <v>0</v>
      </c>
      <c r="D50" s="574">
        <f t="shared" ref="D50:F50" si="32">SUM(D51)</f>
        <v>0</v>
      </c>
      <c r="E50" s="574">
        <f t="shared" si="32"/>
        <v>0</v>
      </c>
      <c r="F50" s="574">
        <f t="shared" si="32"/>
        <v>0</v>
      </c>
      <c r="G50" s="559"/>
      <c r="H50" s="559"/>
      <c r="I50" s="574">
        <f>SUM(I51)</f>
        <v>0</v>
      </c>
      <c r="J50" s="574">
        <f t="shared" ref="J50:L50" si="33">SUM(J51)</f>
        <v>0</v>
      </c>
      <c r="K50" s="574">
        <f t="shared" si="33"/>
        <v>0</v>
      </c>
      <c r="L50" s="574">
        <f t="shared" si="33"/>
        <v>0</v>
      </c>
    </row>
    <row r="51" spans="1:12" ht="32.25" hidden="1" customHeight="1">
      <c r="A51" s="206"/>
      <c r="B51" s="225"/>
      <c r="C51" s="226"/>
      <c r="D51" s="426"/>
      <c r="E51" s="410"/>
      <c r="F51" s="410"/>
      <c r="I51" s="226"/>
      <c r="J51" s="426"/>
      <c r="K51" s="557"/>
      <c r="L51" s="557"/>
    </row>
    <row r="52" spans="1:12">
      <c r="A52" s="227"/>
    </row>
    <row r="53" spans="1:12">
      <c r="A53" s="227"/>
    </row>
    <row r="54" spans="1:12">
      <c r="A54" s="227"/>
    </row>
    <row r="55" spans="1:12">
      <c r="A55" s="227"/>
    </row>
    <row r="56" spans="1:12">
      <c r="A56" s="227"/>
    </row>
    <row r="57" spans="1:12">
      <c r="A57" s="227"/>
    </row>
    <row r="58" spans="1:12">
      <c r="A58" s="227"/>
    </row>
    <row r="59" spans="1:12">
      <c r="A59" s="227"/>
    </row>
    <row r="60" spans="1:12">
      <c r="A60" s="227"/>
    </row>
    <row r="61" spans="1:12">
      <c r="A61" s="227"/>
    </row>
    <row r="62" spans="1:12">
      <c r="A62" s="227"/>
    </row>
    <row r="63" spans="1:12">
      <c r="A63" s="227"/>
    </row>
    <row r="64" spans="1:12">
      <c r="A64" s="227"/>
    </row>
    <row r="65" spans="1:1">
      <c r="A65" s="227"/>
    </row>
    <row r="66" spans="1:1" ht="18.75" customHeight="1"/>
    <row r="67" spans="1:1" ht="18.75" customHeight="1"/>
    <row r="68" spans="1:1" ht="18.75" customHeight="1"/>
    <row r="69" spans="1:1" ht="18.75" customHeight="1"/>
    <row r="70" spans="1:1">
      <c r="A70" s="228"/>
    </row>
    <row r="105" spans="1:1" ht="18.75" customHeight="1"/>
    <row r="106" spans="1:1" ht="18.75" customHeight="1"/>
    <row r="107" spans="1:1" ht="18.75" customHeight="1"/>
    <row r="108" spans="1:1">
      <c r="A108" s="228"/>
    </row>
  </sheetData>
  <mergeCells count="17">
    <mergeCell ref="E1:F1"/>
    <mergeCell ref="I6:I7"/>
    <mergeCell ref="K1:L1"/>
    <mergeCell ref="K4:L4"/>
    <mergeCell ref="I5:L5"/>
    <mergeCell ref="J6:J7"/>
    <mergeCell ref="K6:L6"/>
    <mergeCell ref="A2:L2"/>
    <mergeCell ref="A3:L3"/>
    <mergeCell ref="C6:C7"/>
    <mergeCell ref="D6:D7"/>
    <mergeCell ref="E6:F6"/>
    <mergeCell ref="E4:F4"/>
    <mergeCell ref="C5:F5"/>
    <mergeCell ref="A1:B1"/>
    <mergeCell ref="A5:A7"/>
    <mergeCell ref="B5:B7"/>
  </mergeCells>
  <phoneticPr fontId="16" type="noConversion"/>
  <printOptions horizontalCentered="1"/>
  <pageMargins left="0.5" right="0.25" top="0.5" bottom="0.5" header="0.31496062992126" footer="0.31496062992126"/>
  <pageSetup paperSize="9" scale="85" orientation="portrait" r:id="rId1"/>
  <headerFooter>
    <oddFooter>&amp;C&amp;P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BreakPreview" topLeftCell="A19" zoomScale="80" zoomScaleNormal="100" zoomScaleSheetLayoutView="80" workbookViewId="0">
      <selection activeCell="I4" sqref="A4:XFD4"/>
    </sheetView>
  </sheetViews>
  <sheetFormatPr defaultRowHeight="15"/>
  <cols>
    <col min="1" max="1" width="8.7109375" style="2" customWidth="1"/>
    <col min="2" max="2" width="60.85546875" style="2" customWidth="1"/>
    <col min="3" max="3" width="16.28515625" style="418" customWidth="1"/>
    <col min="4" max="4" width="14.85546875" style="418" customWidth="1"/>
    <col min="5" max="5" width="10.140625" style="2" customWidth="1"/>
    <col min="6" max="6" width="12.42578125" style="418" hidden="1" customWidth="1"/>
    <col min="7" max="7" width="11.140625" style="2" hidden="1" customWidth="1"/>
    <col min="8" max="16384" width="9.140625" style="2"/>
  </cols>
  <sheetData>
    <row r="1" spans="1:7">
      <c r="A1" s="773" t="s">
        <v>168</v>
      </c>
      <c r="B1" s="773"/>
      <c r="C1" s="774" t="s">
        <v>634</v>
      </c>
      <c r="D1" s="774"/>
      <c r="E1" s="774"/>
    </row>
    <row r="2" spans="1:7" ht="21.75" customHeight="1">
      <c r="A2" s="655" t="s">
        <v>392</v>
      </c>
      <c r="B2" s="655"/>
      <c r="C2" s="655"/>
      <c r="D2" s="655"/>
      <c r="E2" s="655"/>
    </row>
    <row r="3" spans="1:7">
      <c r="A3" s="63"/>
      <c r="C3" s="775" t="s">
        <v>38</v>
      </c>
      <c r="D3" s="775"/>
      <c r="E3" s="775"/>
    </row>
    <row r="4" spans="1:7" ht="71.25" customHeight="1">
      <c r="A4" s="229" t="s">
        <v>10</v>
      </c>
      <c r="B4" s="229" t="s">
        <v>11</v>
      </c>
      <c r="C4" s="419" t="s">
        <v>680</v>
      </c>
      <c r="D4" s="419" t="s">
        <v>653</v>
      </c>
      <c r="E4" s="152" t="s">
        <v>382</v>
      </c>
    </row>
    <row r="5" spans="1:7">
      <c r="A5" s="230" t="s">
        <v>14</v>
      </c>
      <c r="B5" s="230" t="s">
        <v>15</v>
      </c>
      <c r="C5" s="231">
        <v>1</v>
      </c>
      <c r="D5" s="231">
        <v>2</v>
      </c>
      <c r="E5" s="231">
        <v>3</v>
      </c>
    </row>
    <row r="6" spans="1:7" s="1" customFormat="1" ht="18.75" customHeight="1">
      <c r="A6" s="232"/>
      <c r="B6" s="232" t="s">
        <v>57</v>
      </c>
      <c r="C6" s="577">
        <f>C7+C8+C33</f>
        <v>437617.75282000005</v>
      </c>
      <c r="D6" s="577">
        <f>D7+D8+D33</f>
        <v>437617.75282000005</v>
      </c>
      <c r="E6" s="233">
        <f>E7+E8+E33</f>
        <v>0</v>
      </c>
      <c r="F6" s="423">
        <f>C6-D6</f>
        <v>0</v>
      </c>
      <c r="G6" s="416">
        <f>D6-C6</f>
        <v>0</v>
      </c>
    </row>
    <row r="7" spans="1:7" ht="18.75" customHeight="1">
      <c r="A7" s="234" t="s">
        <v>14</v>
      </c>
      <c r="B7" s="235" t="s">
        <v>72</v>
      </c>
      <c r="C7" s="578">
        <v>59095.779799999997</v>
      </c>
      <c r="D7" s="578">
        <f>59095.7798+224.96</f>
        <v>59320.739799999996</v>
      </c>
      <c r="E7" s="236"/>
      <c r="F7" s="418">
        <f>C7-D7</f>
        <v>-224.95999999999913</v>
      </c>
      <c r="G7" s="2" t="s">
        <v>657</v>
      </c>
    </row>
    <row r="8" spans="1:7" ht="18.75" customHeight="1">
      <c r="A8" s="234" t="s">
        <v>15</v>
      </c>
      <c r="B8" s="235" t="s">
        <v>244</v>
      </c>
      <c r="C8" s="578">
        <f>C9+C17+C31+C32</f>
        <v>378521.97302000003</v>
      </c>
      <c r="D8" s="578">
        <f>D9+D17+D31+D32</f>
        <v>378297.01302000007</v>
      </c>
      <c r="E8" s="236">
        <f t="shared" ref="E8" si="0">E9+E17+E31+E32</f>
        <v>0</v>
      </c>
      <c r="G8" s="2" t="s">
        <v>658</v>
      </c>
    </row>
    <row r="9" spans="1:7" ht="18.75" customHeight="1">
      <c r="A9" s="234" t="s">
        <v>16</v>
      </c>
      <c r="B9" s="235" t="s">
        <v>73</v>
      </c>
      <c r="C9" s="578">
        <f>C10+C15+C16</f>
        <v>95851</v>
      </c>
      <c r="D9" s="578">
        <f>D10+D15+D16</f>
        <v>95851</v>
      </c>
      <c r="E9" s="236">
        <f>E10+E15+E16</f>
        <v>0</v>
      </c>
      <c r="G9" s="192"/>
    </row>
    <row r="10" spans="1:7" ht="18.75" customHeight="1">
      <c r="A10" s="237">
        <v>1</v>
      </c>
      <c r="B10" s="238" t="s">
        <v>58</v>
      </c>
      <c r="C10" s="579">
        <f>SUM(C11:C14)</f>
        <v>90332</v>
      </c>
      <c r="D10" s="579">
        <f>SUM(D11:D14)</f>
        <v>90332</v>
      </c>
      <c r="E10" s="170">
        <f>SUM(E11:E14)</f>
        <v>0</v>
      </c>
    </row>
    <row r="11" spans="1:7" ht="18.75" customHeight="1">
      <c r="A11" s="237" t="s">
        <v>20</v>
      </c>
      <c r="B11" s="238" t="s">
        <v>59</v>
      </c>
      <c r="C11" s="580">
        <v>5702</v>
      </c>
      <c r="D11" s="580">
        <v>5702</v>
      </c>
      <c r="E11" s="169"/>
    </row>
    <row r="12" spans="1:7" ht="18.75" customHeight="1">
      <c r="A12" s="237" t="s">
        <v>20</v>
      </c>
      <c r="B12" s="238" t="s">
        <v>75</v>
      </c>
      <c r="C12" s="581">
        <v>5700</v>
      </c>
      <c r="D12" s="581">
        <v>5700</v>
      </c>
      <c r="E12" s="169"/>
    </row>
    <row r="13" spans="1:7" ht="18.75" customHeight="1">
      <c r="A13" s="237" t="s">
        <v>20</v>
      </c>
      <c r="B13" s="238" t="s">
        <v>80</v>
      </c>
      <c r="C13" s="581">
        <v>72730</v>
      </c>
      <c r="D13" s="581">
        <v>72730</v>
      </c>
      <c r="E13" s="169"/>
    </row>
    <row r="14" spans="1:7" ht="18.75" customHeight="1">
      <c r="A14" s="237" t="s">
        <v>20</v>
      </c>
      <c r="B14" s="238" t="s">
        <v>81</v>
      </c>
      <c r="C14" s="579">
        <f>3139+3061</f>
        <v>6200</v>
      </c>
      <c r="D14" s="579">
        <f>3139+3061</f>
        <v>6200</v>
      </c>
      <c r="E14" s="169"/>
    </row>
    <row r="15" spans="1:7" ht="37.5" customHeight="1">
      <c r="A15" s="237">
        <v>2</v>
      </c>
      <c r="B15" s="238" t="s">
        <v>84</v>
      </c>
      <c r="C15" s="579">
        <v>0</v>
      </c>
      <c r="D15" s="579">
        <v>0</v>
      </c>
      <c r="E15" s="169"/>
    </row>
    <row r="16" spans="1:7" ht="18.75" customHeight="1">
      <c r="A16" s="237">
        <v>3</v>
      </c>
      <c r="B16" s="238" t="s">
        <v>62</v>
      </c>
      <c r="C16" s="581">
        <f>3692+1827</f>
        <v>5519</v>
      </c>
      <c r="D16" s="581">
        <f>3692+1827</f>
        <v>5519</v>
      </c>
      <c r="E16" s="169"/>
    </row>
    <row r="17" spans="1:8" ht="18.75" customHeight="1">
      <c r="A17" s="234" t="s">
        <v>26</v>
      </c>
      <c r="B17" s="235" t="s">
        <v>85</v>
      </c>
      <c r="C17" s="578">
        <f>SUM(C18:C30)</f>
        <v>271466.97302000003</v>
      </c>
      <c r="D17" s="578">
        <f>SUM(D18:D30)</f>
        <v>266335.51302000007</v>
      </c>
      <c r="E17" s="420">
        <f t="shared" ref="E17:F17" si="1">SUM(E18:E30)</f>
        <v>0</v>
      </c>
      <c r="F17" s="420">
        <f t="shared" si="1"/>
        <v>5131.4599999999882</v>
      </c>
      <c r="G17" s="422">
        <f>412.78-F17</f>
        <v>-4718.6799999999885</v>
      </c>
    </row>
    <row r="18" spans="1:8" ht="21.75" customHeight="1">
      <c r="A18" s="237" t="s">
        <v>20</v>
      </c>
      <c r="B18" s="238" t="s">
        <v>86</v>
      </c>
      <c r="C18" s="579">
        <v>196470</v>
      </c>
      <c r="D18" s="538">
        <v>194061.7</v>
      </c>
      <c r="E18" s="169"/>
      <c r="F18" s="418">
        <f>C18-D18</f>
        <v>2408.2999999999884</v>
      </c>
    </row>
    <row r="19" spans="1:8" ht="21.75" customHeight="1">
      <c r="A19" s="237" t="s">
        <v>20</v>
      </c>
      <c r="B19" s="238" t="s">
        <v>87</v>
      </c>
      <c r="C19" s="579">
        <v>150</v>
      </c>
      <c r="D19" s="538">
        <v>150</v>
      </c>
      <c r="E19" s="169"/>
      <c r="F19" s="418">
        <f t="shared" ref="F19:F30" si="2">C19-D19</f>
        <v>0</v>
      </c>
    </row>
    <row r="20" spans="1:8" ht="21.75" customHeight="1">
      <c r="A20" s="237" t="s">
        <v>20</v>
      </c>
      <c r="B20" s="238" t="s">
        <v>74</v>
      </c>
      <c r="C20" s="579">
        <v>2266.7730000000001</v>
      </c>
      <c r="D20" s="538">
        <v>2272.893</v>
      </c>
      <c r="E20" s="169"/>
      <c r="F20" s="418">
        <f t="shared" si="2"/>
        <v>-6.1199999999998909</v>
      </c>
    </row>
    <row r="21" spans="1:8" ht="18.75" customHeight="1">
      <c r="A21" s="237" t="s">
        <v>20</v>
      </c>
      <c r="B21" s="238" t="s">
        <v>88</v>
      </c>
      <c r="C21" s="579">
        <v>1790</v>
      </c>
      <c r="D21" s="538">
        <v>1735</v>
      </c>
      <c r="E21" s="169"/>
      <c r="F21" s="418">
        <f t="shared" si="2"/>
        <v>55</v>
      </c>
    </row>
    <row r="22" spans="1:8" ht="18.75" customHeight="1">
      <c r="A22" s="237" t="s">
        <v>20</v>
      </c>
      <c r="B22" s="238" t="s">
        <v>89</v>
      </c>
      <c r="C22" s="579">
        <v>941</v>
      </c>
      <c r="D22" s="538">
        <v>941</v>
      </c>
      <c r="E22" s="169"/>
      <c r="F22" s="418">
        <f t="shared" si="2"/>
        <v>0</v>
      </c>
    </row>
    <row r="23" spans="1:8" ht="18.75" customHeight="1">
      <c r="A23" s="237" t="s">
        <v>20</v>
      </c>
      <c r="B23" s="238" t="s">
        <v>76</v>
      </c>
      <c r="C23" s="579">
        <v>1432.0029999999999</v>
      </c>
      <c r="D23" s="538">
        <v>1447.31</v>
      </c>
      <c r="E23" s="169"/>
      <c r="F23" s="418">
        <f t="shared" si="2"/>
        <v>-15.307000000000016</v>
      </c>
      <c r="G23" s="192">
        <f>D23-9.5</f>
        <v>1437.81</v>
      </c>
    </row>
    <row r="24" spans="1:8" ht="18.75" customHeight="1">
      <c r="A24" s="237" t="s">
        <v>20</v>
      </c>
      <c r="B24" s="238" t="s">
        <v>77</v>
      </c>
      <c r="C24" s="579">
        <v>1068</v>
      </c>
      <c r="D24" s="538">
        <v>902.18999999999994</v>
      </c>
      <c r="E24" s="169"/>
      <c r="F24" s="418">
        <f t="shared" si="2"/>
        <v>165.81000000000006</v>
      </c>
    </row>
    <row r="25" spans="1:8" ht="18.75" customHeight="1">
      <c r="A25" s="237" t="s">
        <v>20</v>
      </c>
      <c r="B25" s="238" t="s">
        <v>90</v>
      </c>
      <c r="C25" s="579">
        <v>303</v>
      </c>
      <c r="D25" s="538">
        <v>347.7</v>
      </c>
      <c r="E25" s="169"/>
      <c r="F25" s="418">
        <f t="shared" si="2"/>
        <v>-44.699999999999989</v>
      </c>
    </row>
    <row r="26" spans="1:8" ht="18.75" customHeight="1">
      <c r="A26" s="237" t="s">
        <v>20</v>
      </c>
      <c r="B26" s="238" t="s">
        <v>79</v>
      </c>
      <c r="C26" s="579">
        <v>5429</v>
      </c>
      <c r="D26" s="538">
        <f>'[10]Mau 05 UB (2)'!$V$65</f>
        <v>5101.2</v>
      </c>
      <c r="E26" s="169"/>
      <c r="F26" s="418">
        <f t="shared" si="2"/>
        <v>327.80000000000018</v>
      </c>
    </row>
    <row r="27" spans="1:8" ht="18.75" customHeight="1">
      <c r="A27" s="237" t="s">
        <v>20</v>
      </c>
      <c r="B27" s="238" t="s">
        <v>80</v>
      </c>
      <c r="C27" s="579">
        <v>15195.412</v>
      </c>
      <c r="D27" s="538">
        <v>14356.912</v>
      </c>
      <c r="E27" s="169"/>
      <c r="F27" s="418">
        <f t="shared" si="2"/>
        <v>838.5</v>
      </c>
    </row>
    <row r="28" spans="1:8" ht="18.75" customHeight="1">
      <c r="A28" s="237" t="s">
        <v>20</v>
      </c>
      <c r="B28" s="238" t="s">
        <v>91</v>
      </c>
      <c r="C28" s="579">
        <v>27461.005020000001</v>
      </c>
      <c r="D28" s="538">
        <f>26271.35502-0.027+9.5</f>
        <v>26280.828020000001</v>
      </c>
      <c r="E28" s="169"/>
      <c r="F28" s="418">
        <f t="shared" si="2"/>
        <v>1180.1769999999997</v>
      </c>
      <c r="H28" s="652"/>
    </row>
    <row r="29" spans="1:8" ht="18.75" customHeight="1">
      <c r="A29" s="237" t="s">
        <v>20</v>
      </c>
      <c r="B29" s="238" t="s">
        <v>82</v>
      </c>
      <c r="C29" s="579">
        <v>16244.78</v>
      </c>
      <c r="D29" s="538">
        <v>16077.78</v>
      </c>
      <c r="E29" s="169"/>
      <c r="F29" s="418">
        <f t="shared" si="2"/>
        <v>167</v>
      </c>
    </row>
    <row r="30" spans="1:8" ht="18.75" customHeight="1">
      <c r="A30" s="237" t="s">
        <v>20</v>
      </c>
      <c r="B30" s="238" t="s">
        <v>92</v>
      </c>
      <c r="C30" s="579">
        <v>2716</v>
      </c>
      <c r="D30" s="538">
        <f>'[10]Mau 05 UB (2)'!$V$414</f>
        <v>2661</v>
      </c>
      <c r="E30" s="169"/>
      <c r="F30" s="418">
        <f t="shared" si="2"/>
        <v>55</v>
      </c>
    </row>
    <row r="31" spans="1:8" ht="18.75" customHeight="1">
      <c r="A31" s="234" t="s">
        <v>32</v>
      </c>
      <c r="B31" s="235" t="s">
        <v>67</v>
      </c>
      <c r="C31" s="578">
        <v>5849</v>
      </c>
      <c r="D31" s="578">
        <v>5849</v>
      </c>
      <c r="E31" s="239"/>
    </row>
    <row r="32" spans="1:8" ht="18.75" customHeight="1">
      <c r="A32" s="234" t="s">
        <v>64</v>
      </c>
      <c r="B32" s="235" t="s">
        <v>69</v>
      </c>
      <c r="C32" s="578">
        <v>5355</v>
      </c>
      <c r="D32" s="578">
        <v>10261.5</v>
      </c>
      <c r="E32" s="169"/>
    </row>
    <row r="33" spans="1:5" ht="18.75" customHeight="1">
      <c r="A33" s="240" t="s">
        <v>70</v>
      </c>
      <c r="B33" s="241" t="s">
        <v>71</v>
      </c>
      <c r="C33" s="582">
        <v>0</v>
      </c>
      <c r="D33" s="582">
        <v>0</v>
      </c>
      <c r="E33" s="242"/>
    </row>
    <row r="34" spans="1:5" hidden="1">
      <c r="A34" s="127" t="s">
        <v>629</v>
      </c>
    </row>
    <row r="35" spans="1:5" ht="67.5" hidden="1" customHeight="1">
      <c r="A35" s="772" t="s">
        <v>1</v>
      </c>
      <c r="B35" s="772"/>
      <c r="C35" s="772"/>
      <c r="D35" s="421"/>
      <c r="E35" s="128"/>
    </row>
    <row r="36" spans="1:5" ht="34.5" hidden="1" customHeight="1">
      <c r="A36" s="772" t="s">
        <v>93</v>
      </c>
      <c r="B36" s="772"/>
      <c r="C36" s="772"/>
      <c r="D36" s="421"/>
      <c r="E36" s="128"/>
    </row>
    <row r="37" spans="1:5" ht="21" customHeight="1">
      <c r="A37" s="129"/>
    </row>
    <row r="38" spans="1:5" ht="21" customHeight="1"/>
    <row r="39" spans="1:5" ht="21" customHeight="1"/>
    <row r="40" spans="1:5" ht="21" customHeight="1"/>
    <row r="41" spans="1:5" ht="21" customHeight="1"/>
    <row r="42" spans="1:5" ht="21" customHeight="1"/>
    <row r="43" spans="1:5" ht="21" customHeight="1"/>
    <row r="44" spans="1:5" ht="21" customHeight="1"/>
    <row r="45" spans="1:5" ht="21" customHeight="1"/>
    <row r="46" spans="1:5" ht="21" customHeight="1"/>
    <row r="47" spans="1:5" ht="21" customHeight="1"/>
    <row r="48" spans="1:5"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6">
    <mergeCell ref="A36:C36"/>
    <mergeCell ref="A1:B1"/>
    <mergeCell ref="A35:C35"/>
    <mergeCell ref="A2:E2"/>
    <mergeCell ref="C1:E1"/>
    <mergeCell ref="C3:E3"/>
  </mergeCells>
  <phoneticPr fontId="16" type="noConversion"/>
  <printOptions horizontalCentered="1"/>
  <pageMargins left="0.5" right="0.25" top="0.5" bottom="0.5" header="0.31496062992126" footer="0.23622047244094499"/>
  <pageSetup paperSize="9" scale="85"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26</vt:i4>
      </vt:variant>
    </vt:vector>
  </HeadingPairs>
  <TitlesOfParts>
    <vt:vector size="45" baseType="lpstr">
      <vt:lpstr>BIEU 15</vt:lpstr>
      <vt:lpstr>BIEU 16</vt:lpstr>
      <vt:lpstr>BIEU 17</vt:lpstr>
      <vt:lpstr>B 29</vt:lpstr>
      <vt:lpstr>BIEU 30</vt:lpstr>
      <vt:lpstr>BIEU 31</vt:lpstr>
      <vt:lpstr>BIEU 32</vt:lpstr>
      <vt:lpstr>BIEU 33b04</vt:lpstr>
      <vt:lpstr>BIEU 34</vt:lpstr>
      <vt:lpstr>BIEU 35</vt:lpstr>
      <vt:lpstr>biểu 35</vt:lpstr>
      <vt:lpstr>36</vt:lpstr>
      <vt:lpstr>37</vt:lpstr>
      <vt:lpstr>39</vt:lpstr>
      <vt:lpstr>41</vt:lpstr>
      <vt:lpstr>b42-bsmt</vt:lpstr>
      <vt:lpstr>bieu 45</vt:lpstr>
      <vt:lpstr>Bieu 46</vt:lpstr>
      <vt:lpstr>bieu 47</vt:lpstr>
      <vt:lpstr>'36'!Print_Area</vt:lpstr>
      <vt:lpstr>'37'!Print_Area</vt:lpstr>
      <vt:lpstr>'39'!Print_Area</vt:lpstr>
      <vt:lpstr>'41'!Print_Area</vt:lpstr>
      <vt:lpstr>'B 29'!Print_Area</vt:lpstr>
      <vt:lpstr>'b42-bsmt'!Print_Area</vt:lpstr>
      <vt:lpstr>'BIEU 17'!Print_Area</vt:lpstr>
      <vt:lpstr>'BIEU 30'!Print_Area</vt:lpstr>
      <vt:lpstr>'BIEU 31'!Print_Area</vt:lpstr>
      <vt:lpstr>'BIEU 32'!Print_Area</vt:lpstr>
      <vt:lpstr>'BIEU 33b04'!Print_Area</vt:lpstr>
      <vt:lpstr>'BIEU 34'!Print_Area</vt:lpstr>
      <vt:lpstr>'BIEU 35'!Print_Area</vt:lpstr>
      <vt:lpstr>'biểu 35'!Print_Area</vt:lpstr>
      <vt:lpstr>'bieu 45'!Print_Area</vt:lpstr>
      <vt:lpstr>'Bieu 46'!Print_Area</vt:lpstr>
      <vt:lpstr>'bieu 47'!Print_Area</vt:lpstr>
      <vt:lpstr>'37'!Print_Titles</vt:lpstr>
      <vt:lpstr>'41'!Print_Titles</vt:lpstr>
      <vt:lpstr>'BIEU 16'!Print_Titles</vt:lpstr>
      <vt:lpstr>'BIEU 17'!Print_Titles</vt:lpstr>
      <vt:lpstr>'BIEU 33b04'!Print_Titles</vt:lpstr>
      <vt:lpstr>'BIEU 35'!Print_Titles</vt:lpstr>
      <vt:lpstr>'biểu 35'!Print_Titles</vt:lpstr>
      <vt:lpstr>'Bieu 46'!Print_Titles</vt:lpstr>
      <vt:lpstr>'bieu 47'!Print_Titles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HTC</cp:lastModifiedBy>
  <cp:lastPrinted>2022-08-04T00:21:00Z</cp:lastPrinted>
  <dcterms:created xsi:type="dcterms:W3CDTF">2018-12-15T08:38:47Z</dcterms:created>
  <dcterms:modified xsi:type="dcterms:W3CDTF">2022-08-04T00:21:58Z</dcterms:modified>
</cp:coreProperties>
</file>