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60" windowWidth="15600" windowHeight="7575" activeTab="3"/>
  </bookViews>
  <sheets>
    <sheet name="BIEU 15" sheetId="48" r:id="rId1"/>
    <sheet name="BIEU 16" sheetId="47" r:id="rId2"/>
    <sheet name="BIEU 17" sheetId="46" r:id="rId3"/>
    <sheet name="BIEU 30" sheetId="22" r:id="rId4"/>
    <sheet name="BIEU 31" sheetId="2" r:id="rId5"/>
    <sheet name="BIEU 32" sheetId="4" r:id="rId6"/>
    <sheet name="BIEU 33b04" sheetId="23" r:id="rId7"/>
    <sheet name="BIEU 34" sheetId="20" r:id="rId8"/>
    <sheet name="BIEU 35" sheetId="24" r:id="rId9"/>
    <sheet name="36" sheetId="18" r:id="rId10"/>
    <sheet name="37" sheetId="17" r:id="rId11"/>
    <sheet name="39" sheetId="15" r:id="rId12"/>
    <sheet name="41" sheetId="13" r:id="rId13"/>
    <sheet name="42" sheetId="12" r:id="rId14"/>
    <sheet name="bieu 45" sheetId="52" r:id="rId15"/>
    <sheet name="Bieu 46" sheetId="51" r:id="rId16"/>
    <sheet name="bieu 47" sheetId="44" r:id="rId17"/>
  </sheets>
  <externalReferences>
    <externalReference r:id="rId18"/>
    <externalReference r:id="rId19"/>
    <externalReference r:id="rId20"/>
  </externalReferences>
  <definedNames>
    <definedName name="_xlnm.Print_Area" localSheetId="9">'36'!$A$1:$R$23</definedName>
    <definedName name="_xlnm.Print_Area" localSheetId="10">'37'!$A$1:$R$63</definedName>
    <definedName name="_xlnm.Print_Area" localSheetId="11">'39'!$A$1:$M$20</definedName>
    <definedName name="_xlnm.Print_Area" localSheetId="12">'41'!$A$1:$U$88</definedName>
    <definedName name="_xlnm.Print_Area" localSheetId="13">'42'!$A$1:$F$20</definedName>
    <definedName name="_xlnm.Print_Area" localSheetId="2">'BIEU 17'!$A$1:$J$87</definedName>
    <definedName name="_xlnm.Print_Area" localSheetId="3">'BIEU 30'!$A$1:$G$41</definedName>
    <definedName name="_xlnm.Print_Area" localSheetId="4">'BIEU 31'!$A$1:$L$20</definedName>
    <definedName name="_xlnm.Print_Area" localSheetId="5">'BIEU 32'!$A$1:$O$19</definedName>
    <definedName name="_xlnm.Print_Area" localSheetId="6">'BIEU 33b04'!$A$1:$F$50</definedName>
    <definedName name="_xlnm.Print_Area" localSheetId="7">'BIEU 34'!$A$1:$D$33</definedName>
    <definedName name="_xlnm.Print_Area" localSheetId="8">'BIEU 35'!$A$1:$M$80</definedName>
    <definedName name="_xlnm.Print_Area" localSheetId="14">'bieu 45'!$A$1:$M$13</definedName>
    <definedName name="_xlnm.Print_Area" localSheetId="15">'Bieu 46'!$A$1:$Z$56</definedName>
    <definedName name="_xlnm.Print_Area" localSheetId="16">'bieu 47'!$A$1:$G$49</definedName>
    <definedName name="_xlnm.Print_Titles" localSheetId="10">'37'!$4:$6</definedName>
    <definedName name="_xlnm.Print_Titles" localSheetId="12">'41'!$4:$7</definedName>
    <definedName name="_xlnm.Print_Titles" localSheetId="2">'BIEU 17'!$4:$6</definedName>
    <definedName name="_xlnm.Print_Titles" localSheetId="6">'BIEU 33b04'!$5:$8</definedName>
    <definedName name="_xlnm.Print_Titles" localSheetId="8">'BIEU 35'!$4:$6</definedName>
    <definedName name="_xlnm.Print_Titles" localSheetId="15">'Bieu 46'!$4:$7</definedName>
    <definedName name="_xlnm.Print_Titles" localSheetId="16">'bieu 47'!$4:$5</definedName>
  </definedNames>
  <calcPr calcId="144525"/>
</workbook>
</file>

<file path=xl/calcChain.xml><?xml version="1.0" encoding="utf-8"?>
<calcChain xmlns="http://schemas.openxmlformats.org/spreadsheetml/2006/main">
  <c r="C8" i="18" l="1"/>
  <c r="C7" i="18" s="1"/>
  <c r="M7" i="18"/>
  <c r="D7" i="18"/>
  <c r="E7" i="18"/>
  <c r="F7" i="18"/>
  <c r="G7" i="18"/>
  <c r="H7" i="18"/>
  <c r="I7" i="18"/>
  <c r="J7" i="18"/>
  <c r="K7" i="18"/>
  <c r="L7" i="18"/>
  <c r="N7" i="18"/>
  <c r="O7" i="18"/>
  <c r="P7" i="18"/>
  <c r="Q7" i="18"/>
  <c r="R7" i="18"/>
  <c r="D39" i="24"/>
  <c r="C16" i="20"/>
  <c r="D20" i="23"/>
  <c r="H14" i="23"/>
  <c r="G20" i="48"/>
  <c r="G27" i="22"/>
  <c r="M11" i="18"/>
  <c r="J41" i="13"/>
  <c r="K13" i="52"/>
  <c r="J13" i="52"/>
  <c r="I13" i="52"/>
  <c r="F13" i="52"/>
  <c r="E13" i="52"/>
  <c r="C13" i="52"/>
  <c r="L12" i="52"/>
  <c r="D12" i="52"/>
  <c r="D13" i="52" s="1"/>
  <c r="L11" i="52"/>
  <c r="H11" i="52"/>
  <c r="G11" i="52"/>
  <c r="L10" i="52"/>
  <c r="H10" i="52"/>
  <c r="G10" i="52"/>
  <c r="L9" i="52"/>
  <c r="H9" i="52"/>
  <c r="G9" i="52"/>
  <c r="L8" i="52"/>
  <c r="L13" i="52" s="1"/>
  <c r="H8" i="52"/>
  <c r="G8" i="52"/>
  <c r="H12" i="52" l="1"/>
  <c r="H13" i="52" s="1"/>
  <c r="G12" i="52"/>
  <c r="G13" i="52" s="1"/>
  <c r="X38" i="51" l="1"/>
  <c r="L38" i="51"/>
  <c r="Y36" i="51"/>
  <c r="Y31" i="51"/>
  <c r="X30" i="51"/>
  <c r="X29" i="51"/>
  <c r="V29" i="51"/>
  <c r="U28" i="51"/>
  <c r="V28" i="51"/>
  <c r="W28" i="51"/>
  <c r="Y28" i="51"/>
  <c r="T30" i="51"/>
  <c r="T29" i="51"/>
  <c r="Y14" i="51"/>
  <c r="T28" i="51" l="1"/>
  <c r="X28" i="51"/>
  <c r="C10" i="18" l="1"/>
  <c r="G13" i="46" l="1"/>
  <c r="G15" i="46"/>
  <c r="U51" i="51" l="1"/>
  <c r="T51" i="51" s="1"/>
  <c r="U50" i="51"/>
  <c r="T50" i="51" s="1"/>
  <c r="U49" i="51"/>
  <c r="T49" i="51" s="1"/>
  <c r="U48" i="51"/>
  <c r="T48" i="51" s="1"/>
  <c r="U47" i="51"/>
  <c r="T47" i="51" s="1"/>
  <c r="U46" i="51"/>
  <c r="T46" i="51" s="1"/>
  <c r="U45" i="51"/>
  <c r="T45" i="51" s="1"/>
  <c r="U44" i="51"/>
  <c r="T44" i="51" s="1"/>
  <c r="U43" i="51"/>
  <c r="T43" i="51" s="1"/>
  <c r="U42" i="51"/>
  <c r="T42" i="51" s="1"/>
  <c r="U41" i="51"/>
  <c r="T41" i="51" s="1"/>
  <c r="T34" i="51"/>
  <c r="U32" i="51"/>
  <c r="U31" i="51" s="1"/>
  <c r="U22" i="51"/>
  <c r="U20" i="51" s="1"/>
  <c r="T22" i="51"/>
  <c r="T20" i="51" s="1"/>
  <c r="U15" i="51"/>
  <c r="T15" i="51"/>
  <c r="U14" i="51"/>
  <c r="T14" i="51" s="1"/>
  <c r="T12" i="51" s="1"/>
  <c r="X51" i="51"/>
  <c r="J12" i="51"/>
  <c r="K12" i="51"/>
  <c r="J15" i="51"/>
  <c r="K15" i="51"/>
  <c r="J22" i="51"/>
  <c r="J20" i="51" s="1"/>
  <c r="K22" i="51"/>
  <c r="K20" i="51" s="1"/>
  <c r="J25" i="51"/>
  <c r="K25" i="51"/>
  <c r="J31" i="51"/>
  <c r="K31" i="51"/>
  <c r="J33" i="51"/>
  <c r="J40" i="51"/>
  <c r="K40" i="51"/>
  <c r="J53" i="51"/>
  <c r="J52" i="51" s="1"/>
  <c r="K53" i="51"/>
  <c r="K52" i="51" s="1"/>
  <c r="Y55" i="51"/>
  <c r="X55" i="51" s="1"/>
  <c r="L55" i="51"/>
  <c r="H55" i="51"/>
  <c r="X54" i="51"/>
  <c r="L54" i="51"/>
  <c r="H54" i="51"/>
  <c r="O53" i="51"/>
  <c r="O52" i="51" s="1"/>
  <c r="N53" i="51"/>
  <c r="N52" i="51" s="1"/>
  <c r="M53" i="51"/>
  <c r="M52" i="51" s="1"/>
  <c r="I53" i="51"/>
  <c r="I52" i="51" s="1"/>
  <c r="W51" i="51"/>
  <c r="V51" i="51" s="1"/>
  <c r="R51" i="51"/>
  <c r="P51" i="51"/>
  <c r="H51" i="51"/>
  <c r="X50" i="51"/>
  <c r="W50" i="51"/>
  <c r="V50" i="51" s="1"/>
  <c r="S50" i="51"/>
  <c r="R50" i="51" s="1"/>
  <c r="P50" i="51"/>
  <c r="X49" i="51"/>
  <c r="W49" i="51"/>
  <c r="V49" i="51" s="1"/>
  <c r="S49" i="51"/>
  <c r="R49" i="51" s="1"/>
  <c r="P49" i="51"/>
  <c r="X48" i="51"/>
  <c r="W48" i="51"/>
  <c r="V48" i="51" s="1"/>
  <c r="S48" i="51"/>
  <c r="R48" i="51" s="1"/>
  <c r="P48" i="51"/>
  <c r="X47" i="51"/>
  <c r="W47" i="51"/>
  <c r="V47" i="51" s="1"/>
  <c r="S47" i="51"/>
  <c r="R47" i="51" s="1"/>
  <c r="P47" i="51"/>
  <c r="X46" i="51"/>
  <c r="W46" i="51"/>
  <c r="V46" i="51" s="1"/>
  <c r="S46" i="51"/>
  <c r="R46" i="51" s="1"/>
  <c r="P46" i="51"/>
  <c r="X45" i="51"/>
  <c r="W45" i="51"/>
  <c r="V45" i="51" s="1"/>
  <c r="S45" i="51"/>
  <c r="R45" i="51" s="1"/>
  <c r="P45" i="51"/>
  <c r="X44" i="51"/>
  <c r="W44" i="51"/>
  <c r="V44" i="51" s="1"/>
  <c r="S44" i="51"/>
  <c r="R44" i="51" s="1"/>
  <c r="P44" i="51"/>
  <c r="X43" i="51"/>
  <c r="W43" i="51"/>
  <c r="V43" i="51" s="1"/>
  <c r="S43" i="51"/>
  <c r="R43" i="51" s="1"/>
  <c r="P43" i="51"/>
  <c r="X42" i="51"/>
  <c r="W42" i="51"/>
  <c r="V42" i="51" s="1"/>
  <c r="S42" i="51"/>
  <c r="R42" i="51" s="1"/>
  <c r="P42" i="51"/>
  <c r="X41" i="51"/>
  <c r="W41" i="51"/>
  <c r="V41" i="51" s="1"/>
  <c r="S41" i="51"/>
  <c r="R41" i="51" s="1"/>
  <c r="P41" i="51"/>
  <c r="Y40" i="51"/>
  <c r="Y27" i="51" s="1"/>
  <c r="Q40" i="51"/>
  <c r="N40" i="51"/>
  <c r="M40" i="51"/>
  <c r="L40" i="51"/>
  <c r="I40" i="51"/>
  <c r="U40" i="51" s="1"/>
  <c r="H40" i="51"/>
  <c r="G40" i="51"/>
  <c r="G27" i="51" s="1"/>
  <c r="X39" i="51"/>
  <c r="X36" i="51" s="1"/>
  <c r="L39" i="51"/>
  <c r="X37" i="51"/>
  <c r="L37" i="51"/>
  <c r="H37" i="51"/>
  <c r="X35" i="51"/>
  <c r="P35" i="51"/>
  <c r="M35" i="51"/>
  <c r="L35" i="51" s="1"/>
  <c r="X34" i="51"/>
  <c r="V34" i="51"/>
  <c r="R34" i="51"/>
  <c r="P34" i="51"/>
  <c r="L34" i="51"/>
  <c r="H34" i="51"/>
  <c r="X33" i="51"/>
  <c r="L33" i="51"/>
  <c r="X32" i="51"/>
  <c r="W32" i="51"/>
  <c r="V32" i="51" s="1"/>
  <c r="R32" i="51"/>
  <c r="P32" i="51"/>
  <c r="L32" i="51"/>
  <c r="H32" i="51"/>
  <c r="S31" i="51"/>
  <c r="Q31" i="51"/>
  <c r="O31" i="51"/>
  <c r="O27" i="51" s="1"/>
  <c r="N31" i="51"/>
  <c r="M31" i="51"/>
  <c r="I31" i="51"/>
  <c r="AE27" i="51"/>
  <c r="AD27" i="51" s="1"/>
  <c r="Y26" i="51"/>
  <c r="X26" i="51" s="1"/>
  <c r="X25" i="51" s="1"/>
  <c r="L26" i="51"/>
  <c r="L25" i="51" s="1"/>
  <c r="H26" i="51"/>
  <c r="H25" i="51" s="1"/>
  <c r="O25" i="51"/>
  <c r="N25" i="51"/>
  <c r="M25" i="51"/>
  <c r="I25" i="51"/>
  <c r="Y24" i="51"/>
  <c r="Y22" i="51" s="1"/>
  <c r="Y20" i="51" s="1"/>
  <c r="L24" i="51"/>
  <c r="H24" i="51"/>
  <c r="L23" i="51"/>
  <c r="H23" i="51"/>
  <c r="W22" i="51"/>
  <c r="W20" i="51" s="1"/>
  <c r="V22" i="51"/>
  <c r="V20" i="51" s="1"/>
  <c r="S22" i="51"/>
  <c r="S20" i="51" s="1"/>
  <c r="R22" i="51"/>
  <c r="R20" i="51" s="1"/>
  <c r="Q22" i="51"/>
  <c r="Q20" i="51" s="1"/>
  <c r="P22" i="51"/>
  <c r="P20" i="51" s="1"/>
  <c r="O22" i="51"/>
  <c r="O20" i="51" s="1"/>
  <c r="N22" i="51"/>
  <c r="N20" i="51" s="1"/>
  <c r="M22" i="51"/>
  <c r="M20" i="51" s="1"/>
  <c r="I22" i="51"/>
  <c r="I20" i="51" s="1"/>
  <c r="X19" i="51"/>
  <c r="X18" i="51" s="1"/>
  <c r="L19" i="51"/>
  <c r="H19" i="51"/>
  <c r="Y18" i="51"/>
  <c r="X17" i="51"/>
  <c r="L17" i="51"/>
  <c r="H17" i="51"/>
  <c r="X16" i="51"/>
  <c r="L16" i="51"/>
  <c r="H16" i="51"/>
  <c r="Y15" i="51"/>
  <c r="W15" i="51"/>
  <c r="V15" i="51"/>
  <c r="S15" i="51"/>
  <c r="R15" i="51"/>
  <c r="Q15" i="51"/>
  <c r="P15" i="51"/>
  <c r="O15" i="51"/>
  <c r="N15" i="51"/>
  <c r="M15" i="51"/>
  <c r="I15" i="51"/>
  <c r="Y12" i="51"/>
  <c r="W14" i="51"/>
  <c r="W12" i="51" s="1"/>
  <c r="R14" i="51"/>
  <c r="R12" i="51" s="1"/>
  <c r="P14" i="51"/>
  <c r="P12" i="51" s="1"/>
  <c r="M14" i="51"/>
  <c r="L14" i="51" s="1"/>
  <c r="X13" i="51"/>
  <c r="L13" i="51"/>
  <c r="S12" i="51"/>
  <c r="Q12" i="51"/>
  <c r="O12" i="51"/>
  <c r="N12" i="51"/>
  <c r="I12" i="51"/>
  <c r="H12" i="51"/>
  <c r="K27" i="51" l="1"/>
  <c r="T32" i="51"/>
  <c r="T31" i="51" s="1"/>
  <c r="V14" i="51"/>
  <c r="V12" i="51" s="1"/>
  <c r="U27" i="51"/>
  <c r="L53" i="51"/>
  <c r="L52" i="51" s="1"/>
  <c r="R11" i="51"/>
  <c r="T11" i="51"/>
  <c r="T10" i="51" s="1"/>
  <c r="L22" i="51"/>
  <c r="L20" i="51" s="1"/>
  <c r="H53" i="51"/>
  <c r="H52" i="51" s="1"/>
  <c r="T40" i="51"/>
  <c r="T27" i="51" s="1"/>
  <c r="K11" i="51"/>
  <c r="K10" i="51" s="1"/>
  <c r="K9" i="51" s="1"/>
  <c r="J11" i="51"/>
  <c r="J10" i="51" s="1"/>
  <c r="U12" i="51"/>
  <c r="U11" i="51" s="1"/>
  <c r="U10" i="51" s="1"/>
  <c r="J27" i="51"/>
  <c r="S11" i="51"/>
  <c r="S10" i="51" s="1"/>
  <c r="V31" i="51"/>
  <c r="Q27" i="51"/>
  <c r="H22" i="51"/>
  <c r="H20" i="51" s="1"/>
  <c r="X14" i="51"/>
  <c r="X12" i="51" s="1"/>
  <c r="I27" i="51"/>
  <c r="N11" i="51"/>
  <c r="N10" i="51" s="1"/>
  <c r="L31" i="51"/>
  <c r="L27" i="51" s="1"/>
  <c r="V11" i="51"/>
  <c r="V10" i="51" s="1"/>
  <c r="W11" i="51"/>
  <c r="W10" i="51" s="1"/>
  <c r="O11" i="51"/>
  <c r="O10" i="51" s="1"/>
  <c r="O9" i="51" s="1"/>
  <c r="H15" i="51"/>
  <c r="H11" i="51" s="1"/>
  <c r="H10" i="51" s="1"/>
  <c r="R31" i="51"/>
  <c r="X53" i="51"/>
  <c r="X52" i="51" s="1"/>
  <c r="L15" i="51"/>
  <c r="M12" i="51"/>
  <c r="M11" i="51" s="1"/>
  <c r="M10" i="51" s="1"/>
  <c r="Q11" i="51"/>
  <c r="Q10" i="51" s="1"/>
  <c r="X15" i="51"/>
  <c r="H31" i="51"/>
  <c r="H27" i="51" s="1"/>
  <c r="W40" i="51"/>
  <c r="V40" i="51" s="1"/>
  <c r="Y11" i="51"/>
  <c r="Y10" i="51" s="1"/>
  <c r="W31" i="51"/>
  <c r="W27" i="51" s="1"/>
  <c r="L12" i="51"/>
  <c r="X31" i="51"/>
  <c r="I11" i="51"/>
  <c r="I10" i="51" s="1"/>
  <c r="M27" i="51"/>
  <c r="X40" i="51"/>
  <c r="R10" i="51"/>
  <c r="P11" i="51"/>
  <c r="P10" i="51" s="1"/>
  <c r="N27" i="51"/>
  <c r="R40" i="51"/>
  <c r="P31" i="51"/>
  <c r="S40" i="51"/>
  <c r="S27" i="51" s="1"/>
  <c r="P40" i="51"/>
  <c r="X24" i="51"/>
  <c r="X22" i="51" s="1"/>
  <c r="X20" i="51" s="1"/>
  <c r="Y53" i="51"/>
  <c r="Y52" i="51" s="1"/>
  <c r="X27" i="51" l="1"/>
  <c r="V27" i="51"/>
  <c r="V9" i="51" s="1"/>
  <c r="U9" i="51"/>
  <c r="T9" i="51"/>
  <c r="J9" i="51"/>
  <c r="X11" i="51"/>
  <c r="X10" i="51" s="1"/>
  <c r="I9" i="51"/>
  <c r="Q9" i="51"/>
  <c r="Y9" i="51"/>
  <c r="R27" i="51"/>
  <c r="R9" i="51" s="1"/>
  <c r="N9" i="51"/>
  <c r="S9" i="51"/>
  <c r="L11" i="51"/>
  <c r="L10" i="51" s="1"/>
  <c r="L9" i="51" s="1"/>
  <c r="P27" i="51"/>
  <c r="P9" i="51" s="1"/>
  <c r="W9" i="51"/>
  <c r="H9" i="51"/>
  <c r="M9" i="51"/>
  <c r="X9" i="51" l="1"/>
  <c r="I87" i="46" l="1"/>
  <c r="G87" i="46"/>
  <c r="I86" i="46"/>
  <c r="G86" i="46"/>
  <c r="J85" i="46"/>
  <c r="I85" i="46"/>
  <c r="H85" i="46"/>
  <c r="G85" i="46"/>
  <c r="D84" i="46"/>
  <c r="J84" i="46" s="1"/>
  <c r="C84" i="46"/>
  <c r="H84" i="46" s="1"/>
  <c r="J83" i="46"/>
  <c r="I83" i="46"/>
  <c r="H83" i="46"/>
  <c r="G83" i="46"/>
  <c r="J82" i="46"/>
  <c r="I82" i="46"/>
  <c r="H82" i="46"/>
  <c r="G82" i="46"/>
  <c r="J81" i="46"/>
  <c r="I81" i="46"/>
  <c r="H81" i="46"/>
  <c r="G81" i="46"/>
  <c r="J80" i="46"/>
  <c r="I80" i="46"/>
  <c r="H80" i="46"/>
  <c r="G80" i="46"/>
  <c r="J79" i="46"/>
  <c r="I79" i="46"/>
  <c r="H79" i="46"/>
  <c r="G79" i="46"/>
  <c r="J78" i="46"/>
  <c r="I78" i="46"/>
  <c r="H78" i="46"/>
  <c r="G78" i="46"/>
  <c r="I77" i="46"/>
  <c r="G77" i="46"/>
  <c r="J76" i="46"/>
  <c r="I76" i="46"/>
  <c r="H76" i="46"/>
  <c r="G76" i="46"/>
  <c r="J75" i="46"/>
  <c r="I75" i="46"/>
  <c r="H75" i="46"/>
  <c r="G75" i="46"/>
  <c r="I74" i="46"/>
  <c r="G74" i="46"/>
  <c r="J73" i="46"/>
  <c r="I73" i="46"/>
  <c r="H73" i="46"/>
  <c r="G73" i="46"/>
  <c r="J72" i="46"/>
  <c r="I72" i="46"/>
  <c r="H72" i="46"/>
  <c r="G72" i="46"/>
  <c r="F71" i="46"/>
  <c r="J71" i="46" s="1"/>
  <c r="E71" i="46"/>
  <c r="H71" i="46" s="1"/>
  <c r="D71" i="46"/>
  <c r="C71" i="46"/>
  <c r="J70" i="46"/>
  <c r="I70" i="46"/>
  <c r="H70" i="46"/>
  <c r="G70" i="46"/>
  <c r="J69" i="46"/>
  <c r="I69" i="46"/>
  <c r="H69" i="46"/>
  <c r="G69" i="46"/>
  <c r="J68" i="46"/>
  <c r="I68" i="46"/>
  <c r="H68" i="46"/>
  <c r="G68" i="46"/>
  <c r="F67" i="46"/>
  <c r="J67" i="46" s="1"/>
  <c r="E67" i="46"/>
  <c r="H67" i="46" s="1"/>
  <c r="D67" i="46"/>
  <c r="C67" i="46"/>
  <c r="J66" i="46"/>
  <c r="I66" i="46"/>
  <c r="H66" i="46"/>
  <c r="G66" i="46"/>
  <c r="J65" i="46"/>
  <c r="I65" i="46"/>
  <c r="H65" i="46"/>
  <c r="G65" i="46"/>
  <c r="F64" i="46"/>
  <c r="J64" i="46" s="1"/>
  <c r="E64" i="46"/>
  <c r="H64" i="46" s="1"/>
  <c r="D64" i="46"/>
  <c r="C64" i="46"/>
  <c r="J63" i="46"/>
  <c r="I63" i="46"/>
  <c r="H63" i="46"/>
  <c r="G63" i="46"/>
  <c r="J62" i="46"/>
  <c r="I62" i="46"/>
  <c r="H62" i="46"/>
  <c r="G62" i="46"/>
  <c r="J61" i="46"/>
  <c r="I61" i="46"/>
  <c r="H61" i="46"/>
  <c r="G61" i="46"/>
  <c r="J60" i="46"/>
  <c r="I60" i="46"/>
  <c r="H60" i="46"/>
  <c r="G60" i="46"/>
  <c r="I59" i="46"/>
  <c r="G59" i="46"/>
  <c r="D58" i="46"/>
  <c r="J58" i="46" s="1"/>
  <c r="C58" i="46"/>
  <c r="H58" i="46" s="1"/>
  <c r="F57" i="46"/>
  <c r="J57" i="46" s="1"/>
  <c r="E57" i="46"/>
  <c r="H57" i="46" s="1"/>
  <c r="D57" i="46"/>
  <c r="C57" i="46"/>
  <c r="F56" i="46"/>
  <c r="J56" i="46" s="1"/>
  <c r="E56" i="46"/>
  <c r="H56" i="46" s="1"/>
  <c r="D56" i="46"/>
  <c r="C56" i="46"/>
  <c r="F55" i="46"/>
  <c r="J55" i="46" s="1"/>
  <c r="E55" i="46"/>
  <c r="H55" i="46" s="1"/>
  <c r="D55" i="46"/>
  <c r="C55" i="46"/>
  <c r="I54" i="46"/>
  <c r="G54" i="46"/>
  <c r="J53" i="46"/>
  <c r="I53" i="46"/>
  <c r="H53" i="46"/>
  <c r="G53" i="46"/>
  <c r="J52" i="46"/>
  <c r="I52" i="46"/>
  <c r="H52" i="46"/>
  <c r="G52" i="46"/>
  <c r="J51" i="46"/>
  <c r="I51" i="46"/>
  <c r="H51" i="46"/>
  <c r="G51" i="46"/>
  <c r="J50" i="46"/>
  <c r="I50" i="46"/>
  <c r="H50" i="46"/>
  <c r="G50" i="46"/>
  <c r="J49" i="46"/>
  <c r="I49" i="46"/>
  <c r="H49" i="46"/>
  <c r="G49" i="46"/>
  <c r="J48" i="46"/>
  <c r="I48" i="46"/>
  <c r="H48" i="46"/>
  <c r="G48" i="46"/>
  <c r="J47" i="46"/>
  <c r="I47" i="46"/>
  <c r="H47" i="46"/>
  <c r="G47" i="46"/>
  <c r="J46" i="46"/>
  <c r="I46" i="46"/>
  <c r="H46" i="46"/>
  <c r="G46" i="46"/>
  <c r="J45" i="46"/>
  <c r="I45" i="46"/>
  <c r="H45" i="46"/>
  <c r="G45" i="46"/>
  <c r="J44" i="46"/>
  <c r="I44" i="46"/>
  <c r="H44" i="46"/>
  <c r="G44" i="46"/>
  <c r="J43" i="46"/>
  <c r="I43" i="46"/>
  <c r="G43" i="46"/>
  <c r="E43" i="46"/>
  <c r="H43" i="46" s="1"/>
  <c r="J42" i="46"/>
  <c r="I42" i="46"/>
  <c r="H42" i="46"/>
  <c r="G42" i="46"/>
  <c r="J41" i="46"/>
  <c r="I41" i="46"/>
  <c r="H41" i="46"/>
  <c r="G41" i="46"/>
  <c r="I40" i="46"/>
  <c r="G40" i="46"/>
  <c r="I39" i="46"/>
  <c r="G39" i="46"/>
  <c r="F38" i="46"/>
  <c r="J38" i="46" s="1"/>
  <c r="E38" i="46"/>
  <c r="G38" i="46" s="1"/>
  <c r="D38" i="46"/>
  <c r="C38" i="46"/>
  <c r="J37" i="46"/>
  <c r="I37" i="46"/>
  <c r="H37" i="46"/>
  <c r="G37" i="46"/>
  <c r="H36" i="46"/>
  <c r="F36" i="46"/>
  <c r="J36" i="46" s="1"/>
  <c r="E36" i="46"/>
  <c r="G36" i="46" s="1"/>
  <c r="D36" i="46"/>
  <c r="C36" i="46"/>
  <c r="H35" i="46"/>
  <c r="F35" i="46"/>
  <c r="J35" i="46" s="1"/>
  <c r="E35" i="46"/>
  <c r="G35" i="46" s="1"/>
  <c r="D35" i="46"/>
  <c r="C35" i="46"/>
  <c r="I34" i="46"/>
  <c r="G34" i="46"/>
  <c r="I33" i="46"/>
  <c r="G33" i="46"/>
  <c r="F32" i="46"/>
  <c r="E32" i="46"/>
  <c r="E31" i="46" s="1"/>
  <c r="D32" i="46"/>
  <c r="I32" i="46" s="1"/>
  <c r="C32" i="46"/>
  <c r="F31" i="46"/>
  <c r="I31" i="46" s="1"/>
  <c r="D31" i="46"/>
  <c r="C31" i="46"/>
  <c r="J30" i="46"/>
  <c r="I30" i="46"/>
  <c r="G30" i="46"/>
  <c r="J29" i="46"/>
  <c r="I29" i="46"/>
  <c r="H29" i="46"/>
  <c r="G29" i="46"/>
  <c r="J28" i="46"/>
  <c r="I28" i="46"/>
  <c r="H28" i="46"/>
  <c r="J27" i="46"/>
  <c r="I27" i="46"/>
  <c r="C27" i="46"/>
  <c r="H27" i="46" s="1"/>
  <c r="J26" i="46"/>
  <c r="I26" i="46"/>
  <c r="H26" i="46"/>
  <c r="G26" i="46"/>
  <c r="J25" i="46"/>
  <c r="I25" i="46"/>
  <c r="H25" i="46"/>
  <c r="G25" i="46"/>
  <c r="I24" i="46"/>
  <c r="G24" i="46"/>
  <c r="I23" i="46"/>
  <c r="F23" i="46"/>
  <c r="J23" i="46" s="1"/>
  <c r="E23" i="46"/>
  <c r="D23" i="46"/>
  <c r="I22" i="46"/>
  <c r="G22" i="46"/>
  <c r="I21" i="46"/>
  <c r="G21" i="46"/>
  <c r="J20" i="46"/>
  <c r="I20" i="46"/>
  <c r="H20" i="46"/>
  <c r="G20" i="46"/>
  <c r="J19" i="46"/>
  <c r="I19" i="46"/>
  <c r="H19" i="46"/>
  <c r="G19" i="46"/>
  <c r="F18" i="46"/>
  <c r="F11" i="46" s="1"/>
  <c r="E18" i="46"/>
  <c r="H18" i="46" s="1"/>
  <c r="D18" i="46"/>
  <c r="C18" i="46"/>
  <c r="I17" i="46"/>
  <c r="G17" i="46"/>
  <c r="J15" i="46"/>
  <c r="I15" i="46"/>
  <c r="I14" i="46"/>
  <c r="G14" i="46"/>
  <c r="J13" i="46"/>
  <c r="I13" i="46"/>
  <c r="D13" i="46"/>
  <c r="F12" i="46"/>
  <c r="J12" i="46" s="1"/>
  <c r="E12" i="46"/>
  <c r="G12" i="46" s="1"/>
  <c r="D12" i="46"/>
  <c r="H11" i="46"/>
  <c r="E11" i="46"/>
  <c r="D11" i="46"/>
  <c r="C11" i="46"/>
  <c r="G11" i="46" s="1"/>
  <c r="H10" i="46"/>
  <c r="E10" i="46"/>
  <c r="D10" i="46"/>
  <c r="C10" i="46"/>
  <c r="G10" i="46" s="1"/>
  <c r="E9" i="46"/>
  <c r="D9" i="46"/>
  <c r="D8" i="46"/>
  <c r="L84" i="47"/>
  <c r="J84" i="47"/>
  <c r="L83" i="47"/>
  <c r="J83" i="47"/>
  <c r="L82" i="47"/>
  <c r="J82" i="47"/>
  <c r="L81" i="47"/>
  <c r="J81" i="47"/>
  <c r="L80" i="47"/>
  <c r="J80" i="47"/>
  <c r="L79" i="47"/>
  <c r="J79" i="47"/>
  <c r="L78" i="47"/>
  <c r="J78" i="47"/>
  <c r="L77" i="47"/>
  <c r="J77" i="47"/>
  <c r="L76" i="47"/>
  <c r="J76" i="47"/>
  <c r="L75" i="47"/>
  <c r="J75" i="47"/>
  <c r="K74" i="47"/>
  <c r="I74" i="47"/>
  <c r="H74" i="47"/>
  <c r="L74" i="47" s="1"/>
  <c r="F74" i="47"/>
  <c r="J74" i="47" s="1"/>
  <c r="D74" i="47"/>
  <c r="L73" i="47"/>
  <c r="K73" i="47"/>
  <c r="J73" i="47"/>
  <c r="I73" i="47"/>
  <c r="H72" i="47"/>
  <c r="L72" i="47" s="1"/>
  <c r="G72" i="47"/>
  <c r="K72" i="47" s="1"/>
  <c r="F72" i="47"/>
  <c r="J72" i="47" s="1"/>
  <c r="E72" i="47"/>
  <c r="I72" i="47" s="1"/>
  <c r="D72" i="47"/>
  <c r="C72" i="47"/>
  <c r="L71" i="47"/>
  <c r="K71" i="47"/>
  <c r="J71" i="47"/>
  <c r="I71" i="47"/>
  <c r="L70" i="47"/>
  <c r="K70" i="47"/>
  <c r="J70" i="47"/>
  <c r="I70" i="47"/>
  <c r="K69" i="47"/>
  <c r="J69" i="47"/>
  <c r="I69" i="47"/>
  <c r="H69" i="47"/>
  <c r="L69" i="47" s="1"/>
  <c r="F69" i="47"/>
  <c r="K68" i="47"/>
  <c r="I68" i="47"/>
  <c r="H67" i="47"/>
  <c r="L67" i="47" s="1"/>
  <c r="G67" i="47"/>
  <c r="K67" i="47" s="1"/>
  <c r="F67" i="47"/>
  <c r="F63" i="47" s="1"/>
  <c r="E67" i="47"/>
  <c r="I67" i="47" s="1"/>
  <c r="D67" i="47"/>
  <c r="C67" i="47"/>
  <c r="L66" i="47"/>
  <c r="J66" i="47"/>
  <c r="I66" i="47"/>
  <c r="K65" i="47"/>
  <c r="I65" i="47"/>
  <c r="H64" i="47"/>
  <c r="L64" i="47" s="1"/>
  <c r="G64" i="47"/>
  <c r="K64" i="47" s="1"/>
  <c r="F64" i="47"/>
  <c r="J64" i="47" s="1"/>
  <c r="E64" i="47"/>
  <c r="E63" i="47" s="1"/>
  <c r="D64" i="47"/>
  <c r="C64" i="47"/>
  <c r="H63" i="47"/>
  <c r="L63" i="47" s="1"/>
  <c r="G63" i="47"/>
  <c r="G62" i="47" s="1"/>
  <c r="K62" i="47" s="1"/>
  <c r="D63" i="47"/>
  <c r="C63" i="47"/>
  <c r="C62" i="47" s="1"/>
  <c r="H62" i="47"/>
  <c r="L62" i="47" s="1"/>
  <c r="D62" i="47"/>
  <c r="L61" i="47"/>
  <c r="K61" i="47"/>
  <c r="J61" i="47"/>
  <c r="I61" i="47"/>
  <c r="L60" i="47"/>
  <c r="K60" i="47"/>
  <c r="J60" i="47"/>
  <c r="I60" i="47"/>
  <c r="L59" i="47"/>
  <c r="K59" i="47"/>
  <c r="J59" i="47"/>
  <c r="I59" i="47"/>
  <c r="H58" i="47"/>
  <c r="L58" i="47" s="1"/>
  <c r="G58" i="47"/>
  <c r="K58" i="47" s="1"/>
  <c r="F58" i="47"/>
  <c r="J58" i="47" s="1"/>
  <c r="E58" i="47"/>
  <c r="I58" i="47" s="1"/>
  <c r="D58" i="47"/>
  <c r="C58" i="47"/>
  <c r="L57" i="47"/>
  <c r="K57" i="47"/>
  <c r="J57" i="47"/>
  <c r="I57" i="47"/>
  <c r="L56" i="47"/>
  <c r="K56" i="47"/>
  <c r="J56" i="47"/>
  <c r="I56" i="47"/>
  <c r="H55" i="47"/>
  <c r="L55" i="47" s="1"/>
  <c r="G55" i="47"/>
  <c r="K55" i="47" s="1"/>
  <c r="F55" i="47"/>
  <c r="J55" i="47" s="1"/>
  <c r="E55" i="47"/>
  <c r="I55" i="47" s="1"/>
  <c r="D55" i="47"/>
  <c r="C55" i="47"/>
  <c r="K54" i="47"/>
  <c r="I54" i="47"/>
  <c r="D54" i="47"/>
  <c r="J54" i="47" s="1"/>
  <c r="L53" i="47"/>
  <c r="K53" i="47"/>
  <c r="J53" i="47"/>
  <c r="I53" i="47"/>
  <c r="H51" i="47"/>
  <c r="L51" i="47" s="1"/>
  <c r="G51" i="47"/>
  <c r="K51" i="47" s="1"/>
  <c r="F51" i="47"/>
  <c r="J51" i="47" s="1"/>
  <c r="E51" i="47"/>
  <c r="I51" i="47" s="1"/>
  <c r="D51" i="47"/>
  <c r="C51" i="47"/>
  <c r="L50" i="47"/>
  <c r="K50" i="47"/>
  <c r="J50" i="47"/>
  <c r="I50" i="47"/>
  <c r="K49" i="47"/>
  <c r="I49" i="47"/>
  <c r="H49" i="47"/>
  <c r="L49" i="47" s="1"/>
  <c r="F49" i="47"/>
  <c r="J49" i="47" s="1"/>
  <c r="D49" i="47"/>
  <c r="H48" i="47"/>
  <c r="H46" i="47" s="1"/>
  <c r="G48" i="47"/>
  <c r="K48" i="47" s="1"/>
  <c r="F48" i="47"/>
  <c r="F46" i="47" s="1"/>
  <c r="E48" i="47"/>
  <c r="I48" i="47" s="1"/>
  <c r="D48" i="47"/>
  <c r="C48" i="47"/>
  <c r="K47" i="47"/>
  <c r="I47" i="47"/>
  <c r="D47" i="47"/>
  <c r="D46" i="47" s="1"/>
  <c r="D44" i="47" s="1"/>
  <c r="G46" i="47"/>
  <c r="K46" i="47" s="1"/>
  <c r="E46" i="47"/>
  <c r="I46" i="47" s="1"/>
  <c r="C46" i="47"/>
  <c r="L45" i="47"/>
  <c r="K45" i="47"/>
  <c r="J45" i="47"/>
  <c r="I45" i="47"/>
  <c r="G44" i="47"/>
  <c r="K44" i="47" s="1"/>
  <c r="C44" i="47"/>
  <c r="L43" i="47"/>
  <c r="K43" i="47"/>
  <c r="J43" i="47"/>
  <c r="I43" i="47"/>
  <c r="L42" i="47"/>
  <c r="K42" i="47"/>
  <c r="J42" i="47"/>
  <c r="I42" i="47"/>
  <c r="H41" i="47"/>
  <c r="G41" i="47"/>
  <c r="F41" i="47"/>
  <c r="E41" i="47"/>
  <c r="D41" i="47"/>
  <c r="C41" i="47"/>
  <c r="K40" i="47"/>
  <c r="I40" i="47"/>
  <c r="D40" i="47"/>
  <c r="J40" i="47" s="1"/>
  <c r="K39" i="47"/>
  <c r="I39" i="47"/>
  <c r="D39" i="47"/>
  <c r="L39" i="47" s="1"/>
  <c r="K37" i="47"/>
  <c r="I37" i="47"/>
  <c r="H37" i="47"/>
  <c r="L37" i="47" s="1"/>
  <c r="F37" i="47"/>
  <c r="J37" i="47" s="1"/>
  <c r="D37" i="47"/>
  <c r="L36" i="47"/>
  <c r="K36" i="47"/>
  <c r="J36" i="47"/>
  <c r="I36" i="47"/>
  <c r="L35" i="47"/>
  <c r="K35" i="47"/>
  <c r="J35" i="47"/>
  <c r="I35" i="47"/>
  <c r="L34" i="47"/>
  <c r="K34" i="47"/>
  <c r="J34" i="47"/>
  <c r="I34" i="47"/>
  <c r="K33" i="47"/>
  <c r="J33" i="47"/>
  <c r="I33" i="47"/>
  <c r="H33" i="47"/>
  <c r="L33" i="47" s="1"/>
  <c r="F33" i="47"/>
  <c r="L32" i="47"/>
  <c r="K32" i="47"/>
  <c r="J32" i="47"/>
  <c r="I32" i="47"/>
  <c r="G31" i="47"/>
  <c r="K31" i="47" s="1"/>
  <c r="F31" i="47"/>
  <c r="J31" i="47" s="1"/>
  <c r="E31" i="47"/>
  <c r="I31" i="47" s="1"/>
  <c r="D31" i="47"/>
  <c r="C31" i="47"/>
  <c r="K30" i="47"/>
  <c r="J30" i="47"/>
  <c r="I30" i="47"/>
  <c r="H30" i="47"/>
  <c r="L30" i="47" s="1"/>
  <c r="F30" i="47"/>
  <c r="K29" i="47"/>
  <c r="J29" i="47"/>
  <c r="I29" i="47"/>
  <c r="D29" i="47"/>
  <c r="L29" i="47" s="1"/>
  <c r="K28" i="47"/>
  <c r="I28" i="47"/>
  <c r="D28" i="47"/>
  <c r="J28" i="47" s="1"/>
  <c r="I27" i="47"/>
  <c r="D27" i="47"/>
  <c r="J27" i="47" s="1"/>
  <c r="C27" i="47"/>
  <c r="K27" i="47" s="1"/>
  <c r="G26" i="47"/>
  <c r="K26" i="47" s="1"/>
  <c r="F26" i="47"/>
  <c r="E26" i="47"/>
  <c r="I26" i="47" s="1"/>
  <c r="C26" i="47"/>
  <c r="L25" i="47"/>
  <c r="I25" i="47"/>
  <c r="D25" i="47"/>
  <c r="J25" i="47" s="1"/>
  <c r="L24" i="47"/>
  <c r="H24" i="47"/>
  <c r="G24" i="47"/>
  <c r="F24" i="47"/>
  <c r="J24" i="47" s="1"/>
  <c r="E24" i="47"/>
  <c r="I24" i="47" s="1"/>
  <c r="D24" i="47"/>
  <c r="C24" i="47"/>
  <c r="L23" i="47"/>
  <c r="K23" i="47"/>
  <c r="J23" i="47"/>
  <c r="I23" i="47"/>
  <c r="H22" i="47"/>
  <c r="L22" i="47" s="1"/>
  <c r="G22" i="47"/>
  <c r="K22" i="47" s="1"/>
  <c r="F22" i="47"/>
  <c r="J22" i="47" s="1"/>
  <c r="E22" i="47"/>
  <c r="I22" i="47" s="1"/>
  <c r="D22" i="47"/>
  <c r="C22" i="47"/>
  <c r="K20" i="47"/>
  <c r="I20" i="47"/>
  <c r="D20" i="47"/>
  <c r="J20" i="47" s="1"/>
  <c r="K19" i="47"/>
  <c r="I19" i="47"/>
  <c r="D19" i="47"/>
  <c r="D18" i="47" s="1"/>
  <c r="H18" i="47"/>
  <c r="G18" i="47"/>
  <c r="K18" i="47" s="1"/>
  <c r="F18" i="47"/>
  <c r="E18" i="47"/>
  <c r="C18" i="47"/>
  <c r="C10" i="47" s="1"/>
  <c r="C9" i="47" s="1"/>
  <c r="K17" i="47"/>
  <c r="I17" i="47"/>
  <c r="D17" i="47"/>
  <c r="J17" i="47" s="1"/>
  <c r="K16" i="47"/>
  <c r="I16" i="47"/>
  <c r="H15" i="47"/>
  <c r="L15" i="47" s="1"/>
  <c r="G15" i="47"/>
  <c r="K15" i="47" s="1"/>
  <c r="F15" i="47"/>
  <c r="F11" i="47" s="1"/>
  <c r="E15" i="47"/>
  <c r="I15" i="47" s="1"/>
  <c r="D15" i="47"/>
  <c r="C15" i="47"/>
  <c r="L13" i="47"/>
  <c r="J13" i="47"/>
  <c r="I13" i="47"/>
  <c r="K12" i="47"/>
  <c r="I12" i="47"/>
  <c r="D12" i="47"/>
  <c r="J12" i="47" s="1"/>
  <c r="H11" i="47"/>
  <c r="G11" i="47"/>
  <c r="K11" i="47" s="1"/>
  <c r="E11" i="47"/>
  <c r="I11" i="47" s="1"/>
  <c r="D11" i="47"/>
  <c r="C11" i="47"/>
  <c r="H30" i="48"/>
  <c r="H29" i="48"/>
  <c r="D28" i="48"/>
  <c r="I28" i="48" s="1"/>
  <c r="C28" i="48"/>
  <c r="G27" i="48"/>
  <c r="D27" i="48"/>
  <c r="D26" i="48" s="1"/>
  <c r="C27" i="48"/>
  <c r="G26" i="48"/>
  <c r="F26" i="48"/>
  <c r="E26" i="48"/>
  <c r="E18" i="48" s="1"/>
  <c r="C26" i="48"/>
  <c r="I25" i="48"/>
  <c r="H25" i="48"/>
  <c r="I24" i="48"/>
  <c r="H24" i="48"/>
  <c r="I23" i="48"/>
  <c r="H23" i="48"/>
  <c r="I22" i="48"/>
  <c r="H22" i="48"/>
  <c r="G21" i="48"/>
  <c r="I21" i="48" s="1"/>
  <c r="D20" i="48"/>
  <c r="C20" i="48"/>
  <c r="F19" i="48"/>
  <c r="E19" i="48"/>
  <c r="D19" i="48"/>
  <c r="C19" i="48"/>
  <c r="C18" i="48" s="1"/>
  <c r="F18" i="48"/>
  <c r="H17" i="48"/>
  <c r="E16" i="48"/>
  <c r="I15" i="48"/>
  <c r="H15" i="48"/>
  <c r="G14" i="48"/>
  <c r="E14" i="48"/>
  <c r="H14" i="48" s="1"/>
  <c r="I13" i="48"/>
  <c r="H13" i="48"/>
  <c r="F12" i="48"/>
  <c r="E12" i="48"/>
  <c r="D12" i="48"/>
  <c r="C12" i="48"/>
  <c r="H11" i="48"/>
  <c r="I10" i="48"/>
  <c r="H10" i="48"/>
  <c r="C10" i="48"/>
  <c r="C8" i="48" s="1"/>
  <c r="C7" i="48" s="1"/>
  <c r="I9" i="48"/>
  <c r="H9" i="48"/>
  <c r="G8" i="48"/>
  <c r="F8" i="48"/>
  <c r="E8" i="48"/>
  <c r="D8" i="48"/>
  <c r="D7" i="48" s="1"/>
  <c r="F7" i="48"/>
  <c r="I12" i="46" l="1"/>
  <c r="G10" i="47"/>
  <c r="K10" i="47" s="1"/>
  <c r="D18" i="48"/>
  <c r="H26" i="48"/>
  <c r="H27" i="48"/>
  <c r="I8" i="48"/>
  <c r="G19" i="48"/>
  <c r="G18" i="48" s="1"/>
  <c r="I14" i="48"/>
  <c r="E7" i="48"/>
  <c r="H21" i="48"/>
  <c r="I27" i="48"/>
  <c r="H28" i="48"/>
  <c r="G31" i="46"/>
  <c r="E8" i="46"/>
  <c r="H31" i="46"/>
  <c r="G32" i="46"/>
  <c r="J11" i="46"/>
  <c r="F10" i="46"/>
  <c r="I11" i="46"/>
  <c r="H12" i="46"/>
  <c r="I18" i="46"/>
  <c r="J31" i="46"/>
  <c r="H38" i="46"/>
  <c r="I55" i="46"/>
  <c r="I56" i="46"/>
  <c r="I57" i="46"/>
  <c r="G58" i="46"/>
  <c r="I64" i="46"/>
  <c r="I67" i="46"/>
  <c r="I71" i="46"/>
  <c r="G84" i="46"/>
  <c r="J18" i="46"/>
  <c r="I35" i="46"/>
  <c r="I36" i="46"/>
  <c r="I38" i="46"/>
  <c r="G18" i="46"/>
  <c r="G27" i="46"/>
  <c r="G55" i="46"/>
  <c r="G56" i="46"/>
  <c r="G57" i="46"/>
  <c r="I58" i="46"/>
  <c r="G64" i="46"/>
  <c r="G67" i="46"/>
  <c r="G71" i="46"/>
  <c r="I84" i="46"/>
  <c r="C23" i="46"/>
  <c r="C9" i="46" s="1"/>
  <c r="J18" i="47"/>
  <c r="J11" i="47"/>
  <c r="L18" i="47"/>
  <c r="F44" i="47"/>
  <c r="J44" i="47" s="1"/>
  <c r="J46" i="47"/>
  <c r="L46" i="47"/>
  <c r="H44" i="47"/>
  <c r="L44" i="47" s="1"/>
  <c r="E62" i="47"/>
  <c r="I62" i="47" s="1"/>
  <c r="I63" i="47"/>
  <c r="J63" i="47"/>
  <c r="F62" i="47"/>
  <c r="J62" i="47" s="1"/>
  <c r="L11" i="47"/>
  <c r="L19" i="47"/>
  <c r="L27" i="47"/>
  <c r="J48" i="47"/>
  <c r="K63" i="47"/>
  <c r="J67" i="47"/>
  <c r="L12" i="47"/>
  <c r="L17" i="47"/>
  <c r="L20" i="47"/>
  <c r="L28" i="47"/>
  <c r="L40" i="47"/>
  <c r="L54" i="47"/>
  <c r="L47" i="47"/>
  <c r="I64" i="47"/>
  <c r="J19" i="47"/>
  <c r="D26" i="47"/>
  <c r="D10" i="47" s="1"/>
  <c r="D9" i="47" s="1"/>
  <c r="H31" i="47"/>
  <c r="L31" i="47" s="1"/>
  <c r="J39" i="47"/>
  <c r="E44" i="47"/>
  <c r="I44" i="47" s="1"/>
  <c r="J47" i="47"/>
  <c r="L48" i="47"/>
  <c r="J15" i="47"/>
  <c r="I18" i="47"/>
  <c r="I26" i="48"/>
  <c r="G7" i="48"/>
  <c r="I7" i="48" s="1"/>
  <c r="H8" i="48"/>
  <c r="G12" i="48"/>
  <c r="H16" i="48"/>
  <c r="H20" i="48"/>
  <c r="I16" i="48"/>
  <c r="I20" i="48"/>
  <c r="C14" i="23"/>
  <c r="C13" i="23" s="1"/>
  <c r="C12" i="23" s="1"/>
  <c r="C10" i="23" s="1"/>
  <c r="C18" i="23"/>
  <c r="C31" i="23"/>
  <c r="C38" i="23"/>
  <c r="C41" i="23"/>
  <c r="C47" i="23"/>
  <c r="C50" i="23"/>
  <c r="G9" i="47" l="1"/>
  <c r="K9" i="47" s="1"/>
  <c r="H19" i="48"/>
  <c r="I19" i="48"/>
  <c r="J10" i="46"/>
  <c r="F9" i="46"/>
  <c r="I10" i="46"/>
  <c r="H23" i="46"/>
  <c r="G23" i="46"/>
  <c r="H9" i="46"/>
  <c r="G9" i="46"/>
  <c r="C8" i="46"/>
  <c r="J26" i="47"/>
  <c r="H26" i="47"/>
  <c r="F10" i="47"/>
  <c r="E10" i="47"/>
  <c r="I12" i="48"/>
  <c r="H12" i="48"/>
  <c r="H7" i="48" s="1"/>
  <c r="I18" i="48"/>
  <c r="H18" i="48"/>
  <c r="C40" i="23"/>
  <c r="C37" i="23" s="1"/>
  <c r="C36" i="23" s="1"/>
  <c r="C9" i="23" s="1"/>
  <c r="K83" i="13"/>
  <c r="H8" i="46" l="1"/>
  <c r="G8" i="46"/>
  <c r="J9" i="46"/>
  <c r="F8" i="46"/>
  <c r="I9" i="46"/>
  <c r="I10" i="47"/>
  <c r="E9" i="47"/>
  <c r="I9" i="47" s="1"/>
  <c r="F9" i="47"/>
  <c r="J9" i="47" s="1"/>
  <c r="J10" i="47"/>
  <c r="L26" i="47"/>
  <c r="H10" i="47"/>
  <c r="K15" i="13"/>
  <c r="K37" i="13"/>
  <c r="K43" i="13"/>
  <c r="F34" i="13"/>
  <c r="G34" i="13"/>
  <c r="I34" i="13"/>
  <c r="J34" i="13"/>
  <c r="L34" i="13"/>
  <c r="M34" i="13"/>
  <c r="N34" i="13"/>
  <c r="O34" i="13"/>
  <c r="P34" i="13"/>
  <c r="R34" i="13"/>
  <c r="S34" i="13"/>
  <c r="T34" i="13"/>
  <c r="U34" i="13"/>
  <c r="K35" i="13"/>
  <c r="Q35" i="13"/>
  <c r="E35" i="13"/>
  <c r="K21" i="13"/>
  <c r="K20" i="13"/>
  <c r="K19" i="13"/>
  <c r="K16" i="13"/>
  <c r="K14" i="13"/>
  <c r="K13" i="13"/>
  <c r="K12" i="13"/>
  <c r="K31" i="13"/>
  <c r="K27" i="13"/>
  <c r="J82" i="13"/>
  <c r="C9" i="18"/>
  <c r="E11" i="24"/>
  <c r="J21" i="13"/>
  <c r="Q42" i="13"/>
  <c r="E42" i="13"/>
  <c r="D42" i="13" s="1"/>
  <c r="C42" i="13" s="1"/>
  <c r="H34" i="13"/>
  <c r="K34" i="13" l="1"/>
  <c r="J8" i="46"/>
  <c r="I8" i="46"/>
  <c r="L10" i="47"/>
  <c r="H9" i="47"/>
  <c r="L9" i="47" s="1"/>
  <c r="D35" i="13"/>
  <c r="C35" i="13" s="1"/>
  <c r="R50" i="17" l="1"/>
  <c r="E13" i="12" l="1"/>
  <c r="C15" i="12"/>
  <c r="H16" i="15"/>
  <c r="M12" i="17"/>
  <c r="P17" i="17"/>
  <c r="P24" i="17"/>
  <c r="C63" i="17"/>
  <c r="P51" i="17"/>
  <c r="O36" i="17"/>
  <c r="L37" i="17"/>
  <c r="M37" i="17"/>
  <c r="M36" i="17"/>
  <c r="D14" i="17"/>
  <c r="P28" i="17"/>
  <c r="P9" i="17"/>
  <c r="P12" i="17"/>
  <c r="P16" i="17"/>
  <c r="Q16" i="17"/>
  <c r="P18" i="17"/>
  <c r="P21" i="17"/>
  <c r="P19" i="17"/>
  <c r="P20" i="17"/>
  <c r="P13" i="17"/>
  <c r="P11" i="17"/>
  <c r="P10" i="17"/>
  <c r="E36" i="24"/>
  <c r="E33" i="24"/>
  <c r="E21" i="24"/>
  <c r="E19" i="24"/>
  <c r="E12" i="24"/>
  <c r="E29" i="24"/>
  <c r="E25" i="24"/>
  <c r="E23" i="24"/>
  <c r="E18" i="24"/>
  <c r="E38" i="24"/>
  <c r="D22" i="23"/>
  <c r="D34" i="23"/>
  <c r="E26" i="23"/>
  <c r="D26" i="23" s="1"/>
  <c r="P23" i="17" l="1"/>
  <c r="D39" i="23"/>
  <c r="D38" i="23" s="1"/>
  <c r="E38" i="23"/>
  <c r="F38" i="23"/>
  <c r="J20" i="2" l="1"/>
  <c r="E24" i="24" l="1"/>
  <c r="E20" i="24"/>
  <c r="J36" i="24"/>
  <c r="C36" i="24"/>
  <c r="J34" i="24"/>
  <c r="C34" i="24" s="1"/>
  <c r="E13" i="24"/>
  <c r="E22" i="24"/>
  <c r="E37" i="24"/>
  <c r="E15" i="24"/>
  <c r="E14" i="24"/>
  <c r="D20" i="24"/>
  <c r="C11" i="18" l="1"/>
  <c r="J40" i="24"/>
  <c r="C40" i="24" l="1"/>
  <c r="C14" i="20" l="1"/>
  <c r="C10" i="20" l="1"/>
  <c r="C9" i="20" s="1"/>
  <c r="E32" i="24" l="1"/>
  <c r="D30" i="23" l="1"/>
  <c r="L20" i="2" l="1"/>
  <c r="J19" i="2"/>
  <c r="L19" i="2" s="1"/>
  <c r="J18" i="2"/>
  <c r="L18" i="2" s="1"/>
  <c r="J17" i="2"/>
  <c r="L17" i="2" s="1"/>
  <c r="J16" i="2"/>
  <c r="L16" i="2" s="1"/>
  <c r="J15" i="2"/>
  <c r="L15" i="2" s="1"/>
  <c r="J14" i="2"/>
  <c r="L14" i="2" s="1"/>
  <c r="J13" i="2"/>
  <c r="L13" i="2" s="1"/>
  <c r="J12" i="2"/>
  <c r="L12" i="2" s="1"/>
  <c r="J11" i="2"/>
  <c r="L11" i="2" s="1"/>
  <c r="J10" i="2"/>
  <c r="J9" i="2" l="1"/>
  <c r="L10" i="2"/>
  <c r="I9" i="2"/>
  <c r="E18" i="23" l="1"/>
  <c r="D50" i="23"/>
  <c r="E50" i="23"/>
  <c r="F50" i="23"/>
  <c r="E47" i="23"/>
  <c r="F47" i="23"/>
  <c r="D48" i="23"/>
  <c r="D49" i="23"/>
  <c r="D47" i="23" s="1"/>
  <c r="D43" i="23"/>
  <c r="D44" i="23"/>
  <c r="D35" i="23"/>
  <c r="F18" i="4"/>
  <c r="F8" i="4"/>
  <c r="E18" i="4"/>
  <c r="F7" i="4" l="1"/>
  <c r="H16" i="4"/>
  <c r="H12" i="4"/>
  <c r="H9" i="4"/>
  <c r="H8" i="4"/>
  <c r="K15" i="4"/>
  <c r="K16" i="4"/>
  <c r="K14" i="4"/>
  <c r="K13" i="4"/>
  <c r="K12" i="4"/>
  <c r="K11" i="4"/>
  <c r="K10" i="4"/>
  <c r="K9" i="4"/>
  <c r="K8" i="4"/>
  <c r="G7" i="4"/>
  <c r="K7" i="4" l="1"/>
  <c r="G10" i="22" l="1"/>
  <c r="D12" i="2" l="1"/>
  <c r="C12" i="2" s="1"/>
  <c r="C10" i="2"/>
  <c r="D20" i="2"/>
  <c r="C20" i="2" s="1"/>
  <c r="D19" i="2"/>
  <c r="C19" i="2" s="1"/>
  <c r="D18" i="2"/>
  <c r="C18" i="2" s="1"/>
  <c r="D17" i="2"/>
  <c r="C17" i="2" s="1"/>
  <c r="D16" i="2"/>
  <c r="C16" i="2" s="1"/>
  <c r="D15" i="2"/>
  <c r="C15" i="2" s="1"/>
  <c r="D14" i="2"/>
  <c r="C14" i="2" s="1"/>
  <c r="D13" i="2"/>
  <c r="C13" i="2" s="1"/>
  <c r="D11" i="2"/>
  <c r="C11" i="2" s="1"/>
  <c r="D9" i="2" l="1"/>
  <c r="G36" i="22"/>
  <c r="G35" i="22"/>
  <c r="G37" i="22"/>
  <c r="F35" i="22"/>
  <c r="F36" i="22"/>
  <c r="F37" i="22"/>
  <c r="H20" i="2" l="1"/>
  <c r="H19" i="2"/>
  <c r="H18" i="2"/>
  <c r="H17" i="2"/>
  <c r="H16" i="2"/>
  <c r="H15" i="2"/>
  <c r="H14" i="2"/>
  <c r="H13" i="2"/>
  <c r="H12" i="2"/>
  <c r="H11" i="2"/>
  <c r="H10" i="2"/>
  <c r="E11" i="22" l="1"/>
  <c r="E20" i="2" l="1"/>
  <c r="K20" i="2" s="1"/>
  <c r="E19" i="2"/>
  <c r="K19" i="2" s="1"/>
  <c r="E18" i="2"/>
  <c r="K18" i="2" s="1"/>
  <c r="E17" i="2"/>
  <c r="K17" i="2" s="1"/>
  <c r="E16" i="2"/>
  <c r="K16" i="2" s="1"/>
  <c r="E15" i="2"/>
  <c r="K15" i="2" s="1"/>
  <c r="E14" i="2"/>
  <c r="K14" i="2" s="1"/>
  <c r="E13" i="2"/>
  <c r="K13" i="2" s="1"/>
  <c r="E12" i="2"/>
  <c r="K12" i="2" s="1"/>
  <c r="E11" i="2"/>
  <c r="E10" i="2"/>
  <c r="K10" i="2" s="1"/>
  <c r="C9" i="2" l="1"/>
  <c r="K11" i="2"/>
  <c r="E9" i="2"/>
  <c r="F9" i="2"/>
  <c r="C38" i="22" l="1"/>
  <c r="C28" i="22"/>
  <c r="C26" i="22" s="1"/>
  <c r="C34" i="22" s="1"/>
  <c r="C20" i="22"/>
  <c r="C18" i="22" s="1"/>
  <c r="C11" i="22"/>
  <c r="C9" i="22" s="1"/>
  <c r="C33" i="22" l="1"/>
  <c r="D29" i="23"/>
  <c r="C20" i="12" l="1"/>
  <c r="F19" i="12"/>
  <c r="E19" i="12"/>
  <c r="D19" i="12"/>
  <c r="C18" i="12"/>
  <c r="F17" i="12"/>
  <c r="D17" i="12"/>
  <c r="C16" i="12"/>
  <c r="C14" i="12"/>
  <c r="F13" i="12"/>
  <c r="F12" i="12" s="1"/>
  <c r="D13" i="12"/>
  <c r="S11" i="13"/>
  <c r="K59" i="13"/>
  <c r="K57" i="13"/>
  <c r="R11" i="13"/>
  <c r="R26" i="13"/>
  <c r="S26" i="13"/>
  <c r="R44" i="13"/>
  <c r="S44" i="13"/>
  <c r="R56" i="13"/>
  <c r="S56" i="13"/>
  <c r="Q65" i="13"/>
  <c r="Q43" i="13"/>
  <c r="Q12" i="13"/>
  <c r="Q14" i="13"/>
  <c r="Q16" i="13"/>
  <c r="Q17" i="13"/>
  <c r="Q18" i="13"/>
  <c r="Q19" i="13"/>
  <c r="Q20" i="13"/>
  <c r="Q21" i="13"/>
  <c r="Q22" i="13"/>
  <c r="Q23" i="13"/>
  <c r="Q24" i="13"/>
  <c r="Q25" i="13"/>
  <c r="Q27" i="13"/>
  <c r="Q28" i="13"/>
  <c r="Q29" i="13"/>
  <c r="Q30" i="13"/>
  <c r="Q31" i="13"/>
  <c r="Q32" i="13"/>
  <c r="Q33" i="13"/>
  <c r="Q36" i="13"/>
  <c r="Q38" i="13"/>
  <c r="Q39" i="13"/>
  <c r="Q40" i="13"/>
  <c r="Q44" i="13"/>
  <c r="Q57" i="13"/>
  <c r="Q58" i="13"/>
  <c r="Q59" i="13"/>
  <c r="Q60" i="13"/>
  <c r="Q61" i="13"/>
  <c r="Q62" i="13"/>
  <c r="Q63" i="13"/>
  <c r="Q64" i="13"/>
  <c r="Q66" i="13"/>
  <c r="Q67" i="13"/>
  <c r="Q68" i="13"/>
  <c r="Q69" i="13"/>
  <c r="Q70" i="13"/>
  <c r="Q71" i="13"/>
  <c r="Q72" i="13"/>
  <c r="Q73" i="13"/>
  <c r="Q74" i="13"/>
  <c r="D12" i="12" l="1"/>
  <c r="Q41" i="13"/>
  <c r="C13" i="12"/>
  <c r="C19" i="12"/>
  <c r="Q13" i="13"/>
  <c r="C17" i="12"/>
  <c r="E17" i="12"/>
  <c r="E12" i="12" s="1"/>
  <c r="S10" i="13"/>
  <c r="R10" i="13"/>
  <c r="Q37" i="13"/>
  <c r="Q34" i="13" s="1"/>
  <c r="Q26" i="13"/>
  <c r="Q56" i="13"/>
  <c r="Q15" i="13"/>
  <c r="C12" i="12" l="1"/>
  <c r="Q11" i="13"/>
  <c r="Q10" i="13" s="1"/>
  <c r="F13" i="22" l="1"/>
  <c r="G13" i="22"/>
  <c r="C20" i="17" l="1"/>
  <c r="E20" i="22" l="1"/>
  <c r="G29" i="22" l="1"/>
  <c r="G21" i="22" l="1"/>
  <c r="F10" i="22"/>
  <c r="D11" i="22" l="1"/>
  <c r="D9" i="22" s="1"/>
  <c r="D8" i="4" l="1"/>
  <c r="C8" i="4" s="1"/>
  <c r="D45" i="23"/>
  <c r="D46" i="23"/>
  <c r="D32" i="23"/>
  <c r="D33" i="23"/>
  <c r="D28" i="23"/>
  <c r="D23" i="23"/>
  <c r="D18" i="23" s="1"/>
  <c r="D19" i="23"/>
  <c r="E41" i="23"/>
  <c r="D42" i="23"/>
  <c r="F41" i="23"/>
  <c r="E14" i="23"/>
  <c r="D14" i="23" l="1"/>
  <c r="E13" i="23"/>
  <c r="D41" i="23"/>
  <c r="E40" i="23"/>
  <c r="E37" i="23" s="1"/>
  <c r="F40" i="23"/>
  <c r="F37" i="23" s="1"/>
  <c r="F36" i="23" s="1"/>
  <c r="G19" i="23" l="1"/>
  <c r="G13" i="23"/>
  <c r="E12" i="23"/>
  <c r="D40" i="23"/>
  <c r="D37" i="23" s="1"/>
  <c r="E36" i="23"/>
  <c r="E10" i="23" l="1"/>
  <c r="E9" i="23" s="1"/>
  <c r="D36" i="23"/>
  <c r="F32" i="24" l="1"/>
  <c r="G32" i="24"/>
  <c r="H32" i="24"/>
  <c r="I32" i="24"/>
  <c r="K32" i="24"/>
  <c r="L32" i="24"/>
  <c r="M32" i="24"/>
  <c r="D42" i="24"/>
  <c r="F42" i="24"/>
  <c r="G42" i="24"/>
  <c r="H42" i="24"/>
  <c r="I42" i="24"/>
  <c r="K42" i="24"/>
  <c r="L42" i="24"/>
  <c r="M42" i="24"/>
  <c r="C49" i="17" l="1"/>
  <c r="G46" i="44" l="1"/>
  <c r="F46" i="44"/>
  <c r="E45" i="44"/>
  <c r="E42" i="44" s="1"/>
  <c r="D45" i="44"/>
  <c r="C45" i="44"/>
  <c r="G44" i="44"/>
  <c r="F44" i="44"/>
  <c r="D43" i="44"/>
  <c r="F43" i="44" s="1"/>
  <c r="C42" i="44"/>
  <c r="G41" i="44"/>
  <c r="F41" i="44"/>
  <c r="G40" i="44"/>
  <c r="F40" i="44"/>
  <c r="G39" i="44"/>
  <c r="F39" i="44"/>
  <c r="G38" i="44"/>
  <c r="F38" i="44"/>
  <c r="G37" i="44"/>
  <c r="F37" i="44"/>
  <c r="G36" i="44"/>
  <c r="F36" i="44"/>
  <c r="G35" i="44"/>
  <c r="F35" i="44"/>
  <c r="G34" i="44"/>
  <c r="F34" i="44"/>
  <c r="G33" i="44"/>
  <c r="F33" i="44"/>
  <c r="G32" i="44"/>
  <c r="F32" i="44"/>
  <c r="G31" i="44"/>
  <c r="F31" i="44"/>
  <c r="G30" i="44"/>
  <c r="F30" i="44"/>
  <c r="G29" i="44"/>
  <c r="F29" i="44"/>
  <c r="G28" i="44"/>
  <c r="F28" i="44"/>
  <c r="G27" i="44"/>
  <c r="F27" i="44"/>
  <c r="G26" i="44"/>
  <c r="F26" i="44"/>
  <c r="E25" i="44"/>
  <c r="D25" i="44"/>
  <c r="C25" i="44"/>
  <c r="G24" i="44"/>
  <c r="F24" i="44"/>
  <c r="G23" i="44"/>
  <c r="F23" i="44"/>
  <c r="G22" i="44"/>
  <c r="F22" i="44"/>
  <c r="G21" i="44"/>
  <c r="F21" i="44"/>
  <c r="G20" i="44"/>
  <c r="F20" i="44"/>
  <c r="G19" i="44"/>
  <c r="F19" i="44"/>
  <c r="G18" i="44"/>
  <c r="F18" i="44"/>
  <c r="G17" i="44"/>
  <c r="F17" i="44"/>
  <c r="G16" i="44"/>
  <c r="F16" i="44"/>
  <c r="G15" i="44"/>
  <c r="F15" i="44"/>
  <c r="G14" i="44"/>
  <c r="F14" i="44"/>
  <c r="G13" i="44"/>
  <c r="F13" i="44"/>
  <c r="G12" i="44"/>
  <c r="F12" i="44"/>
  <c r="G11" i="44"/>
  <c r="F11" i="44"/>
  <c r="E10" i="44"/>
  <c r="D10" i="44"/>
  <c r="C10" i="44"/>
  <c r="G10" i="44" l="1"/>
  <c r="F25" i="44"/>
  <c r="D9" i="44"/>
  <c r="D8" i="44" s="1"/>
  <c r="E9" i="44"/>
  <c r="E8" i="44" s="1"/>
  <c r="E7" i="44" s="1"/>
  <c r="C9" i="44"/>
  <c r="C8" i="44" s="1"/>
  <c r="C7" i="44" s="1"/>
  <c r="F45" i="44"/>
  <c r="F42" i="44" s="1"/>
  <c r="F10" i="44"/>
  <c r="G25" i="44"/>
  <c r="D42" i="44"/>
  <c r="G45" i="44"/>
  <c r="G43" i="44"/>
  <c r="G9" i="44" l="1"/>
  <c r="G8" i="44" s="1"/>
  <c r="F9" i="44"/>
  <c r="F8" i="44" s="1"/>
  <c r="F7" i="44" s="1"/>
  <c r="D7" i="44"/>
  <c r="G42" i="44"/>
  <c r="G7" i="44" s="1"/>
  <c r="J54" i="24" l="1"/>
  <c r="C54" i="24" s="1"/>
  <c r="D17" i="20" l="1"/>
  <c r="D10" i="20"/>
  <c r="D9" i="20" s="1"/>
  <c r="D8" i="20" l="1"/>
  <c r="D6" i="20" s="1"/>
  <c r="F75" i="13" l="1"/>
  <c r="G75" i="13"/>
  <c r="H75" i="13"/>
  <c r="I75" i="13"/>
  <c r="J75" i="13"/>
  <c r="K75" i="13"/>
  <c r="M75" i="13"/>
  <c r="N75" i="13"/>
  <c r="O75" i="13"/>
  <c r="P75" i="13"/>
  <c r="R75" i="13"/>
  <c r="R9" i="13" s="1"/>
  <c r="S75" i="13"/>
  <c r="S9" i="13" s="1"/>
  <c r="T75" i="13"/>
  <c r="U75" i="13"/>
  <c r="Q86" i="13"/>
  <c r="L86" i="13"/>
  <c r="E86" i="13"/>
  <c r="Q85" i="13"/>
  <c r="L85" i="13"/>
  <c r="E85" i="13"/>
  <c r="Q84" i="13"/>
  <c r="L84" i="13"/>
  <c r="E84" i="13"/>
  <c r="Q83" i="13"/>
  <c r="L83" i="13"/>
  <c r="E83" i="13"/>
  <c r="Q82" i="13"/>
  <c r="L82" i="13"/>
  <c r="E82" i="13"/>
  <c r="Q81" i="13"/>
  <c r="L81" i="13"/>
  <c r="E81" i="13"/>
  <c r="Q80" i="13"/>
  <c r="L80" i="13"/>
  <c r="E80" i="13"/>
  <c r="Q79" i="13"/>
  <c r="L79" i="13"/>
  <c r="E79" i="13"/>
  <c r="Q78" i="13"/>
  <c r="L78" i="13"/>
  <c r="E78" i="13"/>
  <c r="Q77" i="13"/>
  <c r="L77" i="13"/>
  <c r="E77" i="13"/>
  <c r="Q76" i="13"/>
  <c r="L76" i="13"/>
  <c r="E76" i="13"/>
  <c r="L75" i="13" l="1"/>
  <c r="D79" i="13"/>
  <c r="D83" i="13"/>
  <c r="D76" i="13"/>
  <c r="D84" i="13"/>
  <c r="C52" i="17"/>
  <c r="D78" i="13"/>
  <c r="D82" i="13"/>
  <c r="D80" i="13"/>
  <c r="D77" i="13"/>
  <c r="D81" i="13"/>
  <c r="D85" i="13"/>
  <c r="D86" i="13"/>
  <c r="Q75" i="13"/>
  <c r="Q9" i="13" s="1"/>
  <c r="E75" i="13"/>
  <c r="C82" i="13" l="1"/>
  <c r="C80" i="13"/>
  <c r="C84" i="13"/>
  <c r="C85" i="13"/>
  <c r="C81" i="13"/>
  <c r="C77" i="13"/>
  <c r="C83" i="13"/>
  <c r="D75" i="13"/>
  <c r="C76" i="13"/>
  <c r="C79" i="13"/>
  <c r="C86" i="13"/>
  <c r="C78" i="13"/>
  <c r="C75" i="13" l="1"/>
  <c r="E41" i="13" l="1"/>
  <c r="E36" i="13"/>
  <c r="E43" i="13"/>
  <c r="D43" i="13" s="1"/>
  <c r="I9" i="15"/>
  <c r="J9" i="15"/>
  <c r="M11" i="15"/>
  <c r="M12" i="15"/>
  <c r="M13" i="15"/>
  <c r="M14" i="15"/>
  <c r="M15" i="15"/>
  <c r="M16" i="15"/>
  <c r="M17" i="15"/>
  <c r="M18" i="15"/>
  <c r="M19" i="15"/>
  <c r="M20" i="15"/>
  <c r="D41" i="13" l="1"/>
  <c r="C43" i="13"/>
  <c r="C53" i="17"/>
  <c r="C54" i="17"/>
  <c r="C55" i="17"/>
  <c r="C56" i="17"/>
  <c r="C57" i="17"/>
  <c r="C58" i="17"/>
  <c r="C59" i="17"/>
  <c r="C60" i="17"/>
  <c r="C61" i="17"/>
  <c r="C62" i="17"/>
  <c r="C43" i="17"/>
  <c r="C44" i="17"/>
  <c r="C45" i="17"/>
  <c r="C46" i="17"/>
  <c r="C47" i="17"/>
  <c r="C48" i="17"/>
  <c r="C41" i="17"/>
  <c r="C33" i="17"/>
  <c r="C34" i="17"/>
  <c r="C37" i="17"/>
  <c r="C38" i="17"/>
  <c r="C39" i="17"/>
  <c r="C14" i="17"/>
  <c r="C16" i="17"/>
  <c r="L10" i="24"/>
  <c r="D12" i="18"/>
  <c r="E12" i="18"/>
  <c r="F12" i="18"/>
  <c r="G12" i="18"/>
  <c r="H12" i="18"/>
  <c r="I12" i="18"/>
  <c r="J12" i="18"/>
  <c r="K12" i="18"/>
  <c r="L12" i="18"/>
  <c r="M12" i="18"/>
  <c r="N12" i="18"/>
  <c r="O12" i="18"/>
  <c r="P12" i="18"/>
  <c r="Q12" i="18"/>
  <c r="R12" i="18"/>
  <c r="J41" i="24"/>
  <c r="C41" i="24" s="1"/>
  <c r="E53" i="24" l="1"/>
  <c r="D32" i="24" l="1"/>
  <c r="F10" i="24" l="1"/>
  <c r="G10" i="24"/>
  <c r="H10" i="24"/>
  <c r="I10" i="24"/>
  <c r="K10" i="24"/>
  <c r="M10" i="24"/>
  <c r="J11" i="24"/>
  <c r="J12" i="24"/>
  <c r="J13" i="24"/>
  <c r="J14" i="24"/>
  <c r="J15" i="24"/>
  <c r="J16" i="24"/>
  <c r="J17" i="24"/>
  <c r="J18" i="24"/>
  <c r="J19" i="24"/>
  <c r="J20" i="24"/>
  <c r="J21" i="24"/>
  <c r="J22" i="24"/>
  <c r="J23" i="24"/>
  <c r="D24" i="24"/>
  <c r="F24" i="24"/>
  <c r="G24" i="24"/>
  <c r="H24" i="24"/>
  <c r="I24" i="24"/>
  <c r="K24" i="24"/>
  <c r="L24" i="24"/>
  <c r="M24" i="24"/>
  <c r="J25" i="24"/>
  <c r="J26" i="24"/>
  <c r="J27" i="24"/>
  <c r="J28" i="24"/>
  <c r="J29" i="24"/>
  <c r="J30" i="24"/>
  <c r="J31" i="24"/>
  <c r="J33" i="24"/>
  <c r="J35" i="24"/>
  <c r="J37" i="24"/>
  <c r="J38" i="24"/>
  <c r="J39" i="24"/>
  <c r="J43" i="24"/>
  <c r="J44" i="24"/>
  <c r="J45" i="24"/>
  <c r="C45" i="24" s="1"/>
  <c r="J46" i="24"/>
  <c r="C46" i="24" s="1"/>
  <c r="J47" i="24"/>
  <c r="C47" i="24" s="1"/>
  <c r="J48" i="24"/>
  <c r="C48" i="24" s="1"/>
  <c r="J49" i="24"/>
  <c r="C49" i="24" s="1"/>
  <c r="J50" i="24"/>
  <c r="C50" i="24" s="1"/>
  <c r="J51" i="24"/>
  <c r="C51" i="24" s="1"/>
  <c r="J52" i="24"/>
  <c r="D53" i="24"/>
  <c r="F53" i="24"/>
  <c r="G53" i="24"/>
  <c r="H53" i="24"/>
  <c r="I53" i="24"/>
  <c r="K53" i="24"/>
  <c r="L53" i="24"/>
  <c r="M53" i="24"/>
  <c r="J55" i="24"/>
  <c r="C55" i="24" s="1"/>
  <c r="J56" i="24"/>
  <c r="C56" i="24" s="1"/>
  <c r="J57" i="24"/>
  <c r="C57" i="24" s="1"/>
  <c r="J58" i="24"/>
  <c r="C58" i="24" s="1"/>
  <c r="J59" i="24"/>
  <c r="C59" i="24" s="1"/>
  <c r="J60" i="24"/>
  <c r="C60" i="24" s="1"/>
  <c r="J61" i="24"/>
  <c r="C61" i="24" s="1"/>
  <c r="J62" i="24"/>
  <c r="C62" i="24" s="1"/>
  <c r="J63" i="24"/>
  <c r="C63" i="24" s="1"/>
  <c r="J64" i="24"/>
  <c r="C64" i="24" s="1"/>
  <c r="J65" i="24"/>
  <c r="C65" i="24" s="1"/>
  <c r="J66" i="24"/>
  <c r="J67" i="24"/>
  <c r="C67" i="24" s="1"/>
  <c r="D68" i="24"/>
  <c r="E68" i="24"/>
  <c r="F68" i="24"/>
  <c r="G68" i="24"/>
  <c r="H68" i="24"/>
  <c r="I68" i="24"/>
  <c r="J68" i="24"/>
  <c r="K68" i="24"/>
  <c r="L68" i="24"/>
  <c r="M68" i="24"/>
  <c r="C69" i="24"/>
  <c r="C70" i="24"/>
  <c r="C71" i="24"/>
  <c r="C72" i="24"/>
  <c r="C73" i="24"/>
  <c r="C74" i="24"/>
  <c r="C75" i="24"/>
  <c r="C76" i="24"/>
  <c r="C77" i="24"/>
  <c r="C78" i="24"/>
  <c r="C79" i="24"/>
  <c r="J80" i="24"/>
  <c r="C80" i="24" s="1"/>
  <c r="J32" i="24" l="1"/>
  <c r="C43" i="24"/>
  <c r="J42" i="24"/>
  <c r="C18" i="24"/>
  <c r="J53" i="24"/>
  <c r="J24" i="24"/>
  <c r="C68" i="24"/>
  <c r="C38" i="24"/>
  <c r="C16" i="24"/>
  <c r="L9" i="24"/>
  <c r="I9" i="24"/>
  <c r="I8" i="24" s="1"/>
  <c r="I7" i="24" s="1"/>
  <c r="G9" i="24"/>
  <c r="G8" i="24" s="1"/>
  <c r="G7" i="24" s="1"/>
  <c r="J10" i="24"/>
  <c r="M9" i="24"/>
  <c r="M8" i="24" s="1"/>
  <c r="M7" i="24" s="1"/>
  <c r="K9" i="24"/>
  <c r="K8" i="24" s="1"/>
  <c r="K7" i="24" s="1"/>
  <c r="H9" i="24"/>
  <c r="H8" i="24" s="1"/>
  <c r="H7" i="24" s="1"/>
  <c r="F9" i="24"/>
  <c r="F8" i="24" s="1"/>
  <c r="F7" i="24" s="1"/>
  <c r="C53" i="24"/>
  <c r="C39" i="24"/>
  <c r="L8" i="24" l="1"/>
  <c r="L7" i="24" s="1"/>
  <c r="J9" i="24"/>
  <c r="J8" i="24" s="1"/>
  <c r="J7" i="24" s="1"/>
  <c r="D9" i="4" l="1"/>
  <c r="C9" i="4" s="1"/>
  <c r="D10" i="4"/>
  <c r="C10" i="4" s="1"/>
  <c r="D11" i="4"/>
  <c r="C11" i="4" s="1"/>
  <c r="D12" i="4"/>
  <c r="C12" i="4" s="1"/>
  <c r="D13" i="4"/>
  <c r="C13" i="4" s="1"/>
  <c r="D14" i="4"/>
  <c r="C14" i="4" s="1"/>
  <c r="D15" i="4"/>
  <c r="C15" i="4" s="1"/>
  <c r="D16" i="4"/>
  <c r="C16" i="4" s="1"/>
  <c r="D17" i="4"/>
  <c r="C17" i="4" s="1"/>
  <c r="D18" i="4"/>
  <c r="C18" i="4" s="1"/>
  <c r="G30" i="22"/>
  <c r="G22" i="22"/>
  <c r="G19" i="22"/>
  <c r="F39" i="22"/>
  <c r="F40" i="22"/>
  <c r="F29" i="22"/>
  <c r="F30" i="22"/>
  <c r="F31" i="22"/>
  <c r="F32" i="22"/>
  <c r="F27" i="22"/>
  <c r="F21" i="22"/>
  <c r="F22" i="22"/>
  <c r="F23" i="22"/>
  <c r="F24" i="22"/>
  <c r="F25" i="22"/>
  <c r="F19" i="22"/>
  <c r="C9" i="15"/>
  <c r="M51" i="4"/>
  <c r="M7" i="4"/>
  <c r="E62" i="4"/>
  <c r="D62" i="4" s="1"/>
  <c r="D61" i="4"/>
  <c r="D60" i="4"/>
  <c r="D59" i="4"/>
  <c r="D58" i="4"/>
  <c r="D57" i="4"/>
  <c r="D56" i="4"/>
  <c r="D55" i="4"/>
  <c r="D54" i="4"/>
  <c r="D53" i="4"/>
  <c r="D52" i="4"/>
  <c r="O51" i="4"/>
  <c r="N51" i="4"/>
  <c r="L51" i="4"/>
  <c r="K51" i="4"/>
  <c r="J51" i="4"/>
  <c r="I51" i="4"/>
  <c r="H51" i="4"/>
  <c r="G51" i="4"/>
  <c r="F51" i="4"/>
  <c r="E51" i="4"/>
  <c r="C62" i="4"/>
  <c r="C41" i="13"/>
  <c r="O8" i="17"/>
  <c r="E63" i="13"/>
  <c r="D63" i="13" s="1"/>
  <c r="E62" i="13"/>
  <c r="D62" i="13" s="1"/>
  <c r="K9" i="15"/>
  <c r="L9" i="15"/>
  <c r="L31" i="17"/>
  <c r="D51" i="17"/>
  <c r="E51" i="17"/>
  <c r="F51" i="17"/>
  <c r="G51" i="17"/>
  <c r="H51" i="17"/>
  <c r="I51" i="17"/>
  <c r="J51" i="17"/>
  <c r="K51" i="17"/>
  <c r="L51" i="17"/>
  <c r="M51" i="17"/>
  <c r="N51" i="17"/>
  <c r="O51" i="17"/>
  <c r="Q51" i="17"/>
  <c r="R51" i="17"/>
  <c r="D40" i="17"/>
  <c r="E40" i="17"/>
  <c r="G40" i="17"/>
  <c r="H40" i="17"/>
  <c r="I40" i="17"/>
  <c r="J40" i="17"/>
  <c r="K40" i="17"/>
  <c r="L40" i="17"/>
  <c r="M40" i="17"/>
  <c r="N40" i="17"/>
  <c r="O40" i="17"/>
  <c r="P40" i="17"/>
  <c r="Q40" i="17"/>
  <c r="E31" i="17"/>
  <c r="F31" i="17"/>
  <c r="G31" i="17"/>
  <c r="H31" i="17"/>
  <c r="I31" i="17"/>
  <c r="J31" i="17"/>
  <c r="K31" i="17"/>
  <c r="N31" i="17"/>
  <c r="O31" i="17"/>
  <c r="P31" i="17"/>
  <c r="Q31" i="17"/>
  <c r="R31" i="17"/>
  <c r="D23" i="17"/>
  <c r="E23" i="17"/>
  <c r="F23" i="17"/>
  <c r="G23" i="17"/>
  <c r="H23" i="17"/>
  <c r="I23" i="17"/>
  <c r="J23" i="17"/>
  <c r="K23" i="17"/>
  <c r="L23" i="17"/>
  <c r="M23" i="17"/>
  <c r="N23" i="17"/>
  <c r="O23" i="17"/>
  <c r="Q23" i="17"/>
  <c r="R23" i="17"/>
  <c r="D8" i="17"/>
  <c r="E8" i="17"/>
  <c r="F8" i="17"/>
  <c r="G8" i="17"/>
  <c r="H8" i="17"/>
  <c r="I8" i="17"/>
  <c r="J8" i="17"/>
  <c r="K8" i="17"/>
  <c r="L8" i="17"/>
  <c r="L7" i="17" s="1"/>
  <c r="N8" i="17"/>
  <c r="Q8" i="17"/>
  <c r="R8" i="17"/>
  <c r="C22" i="17"/>
  <c r="J44" i="13"/>
  <c r="F11" i="13"/>
  <c r="G11" i="13"/>
  <c r="H11" i="13"/>
  <c r="I11" i="13"/>
  <c r="J11" i="13"/>
  <c r="L11" i="13"/>
  <c r="K44" i="13"/>
  <c r="T11" i="13"/>
  <c r="F56" i="13"/>
  <c r="G56" i="13"/>
  <c r="H56" i="13"/>
  <c r="I56" i="13"/>
  <c r="J56" i="13"/>
  <c r="L56" i="13"/>
  <c r="M56" i="13"/>
  <c r="N56" i="13"/>
  <c r="O56" i="13"/>
  <c r="P56" i="13"/>
  <c r="T56" i="13"/>
  <c r="U56" i="13"/>
  <c r="F44" i="13"/>
  <c r="G44" i="13"/>
  <c r="H44" i="13"/>
  <c r="I44" i="13"/>
  <c r="L44" i="13"/>
  <c r="M44" i="13"/>
  <c r="N44" i="13"/>
  <c r="P44" i="13"/>
  <c r="T44" i="13"/>
  <c r="U44" i="13"/>
  <c r="E38" i="13"/>
  <c r="F26" i="13"/>
  <c r="G26" i="13"/>
  <c r="H26" i="13"/>
  <c r="I26" i="13"/>
  <c r="J26" i="13"/>
  <c r="L26" i="13"/>
  <c r="M26" i="13"/>
  <c r="N26" i="13"/>
  <c r="O26" i="13"/>
  <c r="P26" i="13"/>
  <c r="T26" i="13"/>
  <c r="U26" i="13"/>
  <c r="M11" i="13"/>
  <c r="N11" i="13"/>
  <c r="O11" i="13"/>
  <c r="P11" i="13"/>
  <c r="U11" i="13"/>
  <c r="Q87" i="13"/>
  <c r="E12" i="13"/>
  <c r="D12" i="13" s="1"/>
  <c r="E13" i="13"/>
  <c r="E14" i="13"/>
  <c r="E15" i="13"/>
  <c r="D15" i="13" s="1"/>
  <c r="C15" i="13" s="1"/>
  <c r="E16" i="13"/>
  <c r="D16" i="13" s="1"/>
  <c r="C16" i="13" s="1"/>
  <c r="C13" i="17" s="1"/>
  <c r="C15" i="24" s="1"/>
  <c r="E17" i="13"/>
  <c r="D17" i="13" s="1"/>
  <c r="E18" i="13"/>
  <c r="D18" i="13" s="1"/>
  <c r="C18" i="13" s="1"/>
  <c r="C15" i="17" s="1"/>
  <c r="C17" i="24" s="1"/>
  <c r="E19" i="13"/>
  <c r="D19" i="13" s="1"/>
  <c r="E20" i="13"/>
  <c r="D20" i="13" s="1"/>
  <c r="E21" i="13"/>
  <c r="D21" i="13" s="1"/>
  <c r="E22" i="13"/>
  <c r="D22" i="13" s="1"/>
  <c r="E23" i="13"/>
  <c r="D23" i="13" s="1"/>
  <c r="E24" i="13"/>
  <c r="E25" i="13"/>
  <c r="D25" i="13" s="1"/>
  <c r="E27" i="13"/>
  <c r="D27" i="13" s="1"/>
  <c r="C27" i="13" s="1"/>
  <c r="E28" i="13"/>
  <c r="D28" i="13" s="1"/>
  <c r="C28" i="13" s="1"/>
  <c r="C25" i="17" s="1"/>
  <c r="C26" i="24" s="1"/>
  <c r="E29" i="13"/>
  <c r="D29" i="13" s="1"/>
  <c r="E30" i="13"/>
  <c r="D30" i="13" s="1"/>
  <c r="C30" i="13" s="1"/>
  <c r="E31" i="13"/>
  <c r="D31" i="13" s="1"/>
  <c r="E32" i="13"/>
  <c r="D32" i="13" s="1"/>
  <c r="C32" i="13" s="1"/>
  <c r="C29" i="17" s="1"/>
  <c r="C30" i="24" s="1"/>
  <c r="E33" i="13"/>
  <c r="D33" i="13" s="1"/>
  <c r="E37" i="13"/>
  <c r="E39" i="13"/>
  <c r="D39" i="13" s="1"/>
  <c r="C39" i="13" s="1"/>
  <c r="E40" i="13"/>
  <c r="E57" i="13"/>
  <c r="E58" i="13"/>
  <c r="D58" i="13" s="1"/>
  <c r="C58" i="13" s="1"/>
  <c r="C42" i="17" s="1"/>
  <c r="E59" i="13"/>
  <c r="D59" i="13" s="1"/>
  <c r="C59" i="13" s="1"/>
  <c r="E60" i="13"/>
  <c r="E61" i="13"/>
  <c r="D61" i="13" s="1"/>
  <c r="E64" i="13"/>
  <c r="D64" i="13" s="1"/>
  <c r="C64" i="13" s="1"/>
  <c r="E65" i="13"/>
  <c r="D65" i="13" s="1"/>
  <c r="E66" i="13"/>
  <c r="D66" i="13" s="1"/>
  <c r="E67" i="13"/>
  <c r="D67" i="13" s="1"/>
  <c r="E68" i="13"/>
  <c r="D68" i="13" s="1"/>
  <c r="C68" i="13" s="1"/>
  <c r="E69" i="13"/>
  <c r="D69" i="13" s="1"/>
  <c r="E70" i="13"/>
  <c r="D70" i="13" s="1"/>
  <c r="E71" i="13"/>
  <c r="D71" i="13" s="1"/>
  <c r="E72" i="13"/>
  <c r="D72" i="13" s="1"/>
  <c r="C72" i="13" s="1"/>
  <c r="E73" i="13"/>
  <c r="D73" i="13" s="1"/>
  <c r="E74" i="13"/>
  <c r="D74" i="13" s="1"/>
  <c r="E87" i="13"/>
  <c r="D87" i="13" s="1"/>
  <c r="D36" i="13"/>
  <c r="C36" i="13" s="1"/>
  <c r="C32" i="17" s="1"/>
  <c r="D9" i="15"/>
  <c r="E9" i="15"/>
  <c r="F9" i="15"/>
  <c r="G9" i="15"/>
  <c r="C23" i="18"/>
  <c r="C22" i="18"/>
  <c r="B22" i="18"/>
  <c r="C21" i="18"/>
  <c r="B21" i="18"/>
  <c r="C20" i="18"/>
  <c r="B20" i="18"/>
  <c r="C19" i="18"/>
  <c r="B19" i="18"/>
  <c r="C18" i="18"/>
  <c r="B18" i="18"/>
  <c r="C17" i="18"/>
  <c r="B17" i="18"/>
  <c r="C16" i="18"/>
  <c r="B16" i="18"/>
  <c r="C15" i="18"/>
  <c r="B15" i="18"/>
  <c r="C14" i="18"/>
  <c r="B14" i="18"/>
  <c r="C13" i="18"/>
  <c r="B13" i="18"/>
  <c r="H7" i="4"/>
  <c r="I7" i="4"/>
  <c r="J7" i="4"/>
  <c r="L7" i="4"/>
  <c r="N7" i="4"/>
  <c r="O7" i="4"/>
  <c r="E7" i="4"/>
  <c r="G14" i="2"/>
  <c r="G17" i="2"/>
  <c r="G12" i="2"/>
  <c r="G13" i="2"/>
  <c r="G18" i="2"/>
  <c r="F41" i="22"/>
  <c r="F17" i="22"/>
  <c r="G12" i="22"/>
  <c r="G15" i="22"/>
  <c r="G16" i="22"/>
  <c r="F14" i="22"/>
  <c r="F15" i="22"/>
  <c r="F16" i="22"/>
  <c r="F8" i="22"/>
  <c r="D38" i="22"/>
  <c r="E38" i="22"/>
  <c r="F38" i="22" s="1"/>
  <c r="D28" i="22"/>
  <c r="D26" i="22" s="1"/>
  <c r="D34" i="22" s="1"/>
  <c r="E28" i="22"/>
  <c r="D20" i="22"/>
  <c r="E18" i="22"/>
  <c r="M10" i="13" l="1"/>
  <c r="M9" i="13" s="1"/>
  <c r="E34" i="13"/>
  <c r="N7" i="17"/>
  <c r="I7" i="17"/>
  <c r="G7" i="17"/>
  <c r="C87" i="13"/>
  <c r="O7" i="17"/>
  <c r="H7" i="17"/>
  <c r="K7" i="17"/>
  <c r="E7" i="17"/>
  <c r="Q7" i="17"/>
  <c r="J7" i="17"/>
  <c r="C55" i="4"/>
  <c r="C57" i="4"/>
  <c r="C59" i="4"/>
  <c r="C61" i="4"/>
  <c r="K26" i="13"/>
  <c r="D37" i="13"/>
  <c r="G15" i="2"/>
  <c r="D13" i="13"/>
  <c r="C13" i="13" s="1"/>
  <c r="C10" i="17" s="1"/>
  <c r="C12" i="24" s="1"/>
  <c r="C25" i="13"/>
  <c r="C74" i="13"/>
  <c r="C70" i="13"/>
  <c r="C66" i="13"/>
  <c r="C50" i="17" s="1"/>
  <c r="D40" i="13"/>
  <c r="C40" i="13" s="1"/>
  <c r="D24" i="13"/>
  <c r="C24" i="13" s="1"/>
  <c r="C21" i="17" s="1"/>
  <c r="C23" i="24" s="1"/>
  <c r="C20" i="13"/>
  <c r="C17" i="17" s="1"/>
  <c r="C19" i="24" s="1"/>
  <c r="K11" i="13"/>
  <c r="G19" i="2"/>
  <c r="C62" i="13"/>
  <c r="G11" i="2"/>
  <c r="G16" i="2"/>
  <c r="C12" i="18"/>
  <c r="D14" i="13"/>
  <c r="C14" i="13" s="1"/>
  <c r="C11" i="17" s="1"/>
  <c r="C13" i="24" s="1"/>
  <c r="K56" i="13"/>
  <c r="C52" i="4"/>
  <c r="C60" i="4"/>
  <c r="C24" i="17"/>
  <c r="C36" i="17"/>
  <c r="C33" i="24"/>
  <c r="C21" i="13"/>
  <c r="F40" i="17"/>
  <c r="M31" i="17"/>
  <c r="C65" i="13"/>
  <c r="C73" i="13"/>
  <c r="C71" i="13"/>
  <c r="C61" i="13"/>
  <c r="C33" i="13"/>
  <c r="C30" i="17" s="1"/>
  <c r="C31" i="24" s="1"/>
  <c r="C23" i="13"/>
  <c r="C22" i="24" s="1"/>
  <c r="C18" i="17"/>
  <c r="C69" i="13"/>
  <c r="C67" i="13"/>
  <c r="C22" i="13"/>
  <c r="C19" i="17" s="1"/>
  <c r="C21" i="24" s="1"/>
  <c r="C12" i="17"/>
  <c r="C14" i="24" s="1"/>
  <c r="C12" i="13"/>
  <c r="E26" i="13"/>
  <c r="P10" i="13"/>
  <c r="P9" i="13" s="1"/>
  <c r="L10" i="13"/>
  <c r="L9" i="13" s="1"/>
  <c r="C17" i="13"/>
  <c r="C19" i="13"/>
  <c r="T10" i="13"/>
  <c r="T9" i="13" s="1"/>
  <c r="H10" i="13"/>
  <c r="H9" i="13" s="1"/>
  <c r="D38" i="13"/>
  <c r="C38" i="13" s="1"/>
  <c r="C35" i="17" s="1"/>
  <c r="C35" i="24" s="1"/>
  <c r="U10" i="13"/>
  <c r="U9" i="13" s="1"/>
  <c r="I10" i="13"/>
  <c r="I9" i="13" s="1"/>
  <c r="E56" i="13"/>
  <c r="D26" i="13"/>
  <c r="C29" i="13"/>
  <c r="D60" i="13"/>
  <c r="C60" i="13" s="1"/>
  <c r="D33" i="22"/>
  <c r="D57" i="13"/>
  <c r="C31" i="13"/>
  <c r="C28" i="17" s="1"/>
  <c r="C29" i="24" s="1"/>
  <c r="G10" i="13"/>
  <c r="G9" i="13" s="1"/>
  <c r="N10" i="13"/>
  <c r="N9" i="13" s="1"/>
  <c r="J10" i="13"/>
  <c r="J9" i="13" s="1"/>
  <c r="F10" i="13"/>
  <c r="F9" i="13" s="1"/>
  <c r="C63" i="13"/>
  <c r="M8" i="17"/>
  <c r="E11" i="13"/>
  <c r="C51" i="17"/>
  <c r="D51" i="4"/>
  <c r="C53" i="4"/>
  <c r="C56" i="4"/>
  <c r="C54" i="4"/>
  <c r="C58" i="4"/>
  <c r="D7" i="4"/>
  <c r="F12" i="22"/>
  <c r="E9" i="22"/>
  <c r="D18" i="22"/>
  <c r="F28" i="22"/>
  <c r="G28" i="22"/>
  <c r="E26" i="22"/>
  <c r="G20" i="22"/>
  <c r="F20" i="22"/>
  <c r="C7" i="4"/>
  <c r="G26" i="22" l="1"/>
  <c r="E34" i="22"/>
  <c r="M7" i="17"/>
  <c r="C37" i="13"/>
  <c r="C34" i="13" s="1"/>
  <c r="D34" i="13"/>
  <c r="F7" i="17"/>
  <c r="C52" i="24"/>
  <c r="C40" i="17"/>
  <c r="G9" i="22"/>
  <c r="D11" i="13"/>
  <c r="R40" i="17"/>
  <c r="C26" i="13"/>
  <c r="F11" i="22"/>
  <c r="F9" i="22" s="1"/>
  <c r="G11" i="22"/>
  <c r="C9" i="17"/>
  <c r="C11" i="13"/>
  <c r="D10" i="24"/>
  <c r="D9" i="24" s="1"/>
  <c r="D8" i="24" s="1"/>
  <c r="D7" i="24" s="1"/>
  <c r="C20" i="24"/>
  <c r="C31" i="17"/>
  <c r="C37" i="24"/>
  <c r="C32" i="24" s="1"/>
  <c r="E42" i="24"/>
  <c r="C44" i="24"/>
  <c r="C42" i="24" s="1"/>
  <c r="C66" i="24"/>
  <c r="K10" i="13"/>
  <c r="C25" i="24"/>
  <c r="C27" i="17"/>
  <c r="C28" i="24" s="1"/>
  <c r="P8" i="17"/>
  <c r="D31" i="17"/>
  <c r="D7" i="17" s="1"/>
  <c r="C51" i="4"/>
  <c r="E44" i="13"/>
  <c r="E10" i="13" s="1"/>
  <c r="D56" i="13"/>
  <c r="C57" i="13"/>
  <c r="C56" i="13" s="1"/>
  <c r="G18" i="22"/>
  <c r="F26" i="22"/>
  <c r="F18" i="22"/>
  <c r="R7" i="17" l="1"/>
  <c r="C8" i="17"/>
  <c r="K9" i="13"/>
  <c r="E9" i="13"/>
  <c r="E10" i="24"/>
  <c r="C11" i="24"/>
  <c r="C10" i="24" s="1"/>
  <c r="C26" i="17"/>
  <c r="P7" i="17"/>
  <c r="F34" i="22"/>
  <c r="E33" i="22"/>
  <c r="G34" i="22"/>
  <c r="C23" i="17" l="1"/>
  <c r="C7" i="17" s="1"/>
  <c r="G33" i="22"/>
  <c r="F33" i="22"/>
  <c r="C17" i="20" l="1"/>
  <c r="C8" i="20" s="1"/>
  <c r="C27" i="24"/>
  <c r="C24" i="24" s="1"/>
  <c r="C9" i="24" s="1"/>
  <c r="E9" i="24"/>
  <c r="E8" i="24" s="1"/>
  <c r="E7" i="24" s="1"/>
  <c r="C6" i="20" l="1"/>
  <c r="C8" i="24"/>
  <c r="C7" i="24" s="1"/>
  <c r="O44" i="13" l="1"/>
  <c r="O10" i="13" s="1"/>
  <c r="O9" i="13" s="1"/>
  <c r="D44" i="13" l="1"/>
  <c r="C44" i="13"/>
  <c r="C10" i="13" s="1"/>
  <c r="C9" i="13" s="1"/>
  <c r="D10" i="13" l="1"/>
  <c r="D9" i="13" s="1"/>
  <c r="F21" i="23" l="1"/>
  <c r="D15" i="23"/>
  <c r="F13" i="23"/>
  <c r="F12" i="23" s="1"/>
  <c r="F10" i="23" s="1"/>
  <c r="F9" i="23" s="1"/>
  <c r="G10" i="2"/>
  <c r="D21" i="23" l="1"/>
  <c r="D13" i="23"/>
  <c r="F18" i="23"/>
  <c r="G20" i="2"/>
  <c r="H9" i="2"/>
  <c r="L9" i="2" s="1"/>
  <c r="D12" i="23" l="1"/>
  <c r="D10" i="23" s="1"/>
  <c r="D9" i="23" s="1"/>
  <c r="G9" i="2"/>
  <c r="K9" i="2" s="1"/>
  <c r="M10" i="15" l="1"/>
  <c r="M9" i="15" s="1"/>
  <c r="H9" i="15"/>
</calcChain>
</file>

<file path=xl/comments1.xml><?xml version="1.0" encoding="utf-8"?>
<comments xmlns="http://schemas.openxmlformats.org/spreadsheetml/2006/main">
  <authors>
    <author>AutoBVT</author>
  </authors>
  <commentList>
    <comment ref="E4" authorId="0">
      <text>
        <r>
          <rPr>
            <b/>
            <sz val="9"/>
            <color indexed="81"/>
            <rFont val="Tahoma"/>
            <family val="2"/>
            <charset val="163"/>
          </rPr>
          <t>AutoBVT:</t>
        </r>
        <r>
          <rPr>
            <sz val="9"/>
            <color indexed="81"/>
            <rFont val="Tahoma"/>
            <family val="2"/>
            <charset val="163"/>
          </rPr>
          <t xml:space="preserve">
</t>
        </r>
      </text>
    </comment>
  </commentList>
</comments>
</file>

<file path=xl/comments2.xml><?xml version="1.0" encoding="utf-8"?>
<comments xmlns="http://schemas.openxmlformats.org/spreadsheetml/2006/main">
  <authors>
    <author>AutoBVT</author>
  </authors>
  <commentList>
    <comment ref="A5" authorId="0">
      <text>
        <r>
          <rPr>
            <b/>
            <sz val="9"/>
            <color indexed="81"/>
            <rFont val="Tahoma"/>
            <family val="2"/>
            <charset val="163"/>
          </rPr>
          <t>AutoBVT:</t>
        </r>
        <r>
          <rPr>
            <sz val="9"/>
            <color indexed="81"/>
            <rFont val="Tahoma"/>
            <family val="2"/>
            <charset val="163"/>
          </rPr>
          <t xml:space="preserve">
</t>
        </r>
      </text>
    </comment>
  </commentList>
</comments>
</file>

<file path=xl/comments3.xml><?xml version="1.0" encoding="utf-8"?>
<comments xmlns="http://schemas.openxmlformats.org/spreadsheetml/2006/main">
  <authors>
    <author>VNN.R9</author>
  </authors>
  <commentList>
    <comment ref="A5" authorId="0">
      <text>
        <r>
          <rPr>
            <b/>
            <sz val="9"/>
            <color indexed="81"/>
            <rFont val="Tahoma"/>
            <family val="2"/>
          </rPr>
          <t>VNN.R9:</t>
        </r>
        <r>
          <rPr>
            <sz val="9"/>
            <color indexed="81"/>
            <rFont val="Tahoma"/>
            <family val="2"/>
          </rPr>
          <t xml:space="preserve">
</t>
        </r>
      </text>
    </comment>
  </commentList>
</comments>
</file>

<file path=xl/comments4.xml><?xml version="1.0" encoding="utf-8"?>
<comments xmlns="http://schemas.openxmlformats.org/spreadsheetml/2006/main">
  <authors>
    <author>Windows User</author>
  </authors>
  <commentList>
    <comment ref="Y51" authorId="0">
      <text>
        <r>
          <rPr>
            <b/>
            <sz val="9"/>
            <color indexed="81"/>
            <rFont val="Tahoma"/>
            <family val="2"/>
          </rPr>
          <t>Windows User:</t>
        </r>
        <r>
          <rPr>
            <sz val="9"/>
            <color indexed="81"/>
            <rFont val="Tahoma"/>
            <family val="2"/>
          </rPr>
          <t xml:space="preserve">
Tỉnh giao 1,827 tỷ mục  tiêu + 1,731 tiền huyện trích</t>
        </r>
      </text>
    </comment>
  </commentList>
</comments>
</file>

<file path=xl/comments5.xml><?xml version="1.0" encoding="utf-8"?>
<comments xmlns="http://schemas.openxmlformats.org/spreadsheetml/2006/main">
  <authors>
    <author>AutoBVT</author>
  </authors>
  <commentList>
    <comment ref="A4" authorId="0">
      <text>
        <r>
          <rPr>
            <b/>
            <sz val="9"/>
            <color indexed="81"/>
            <rFont val="Tahoma"/>
            <family val="2"/>
            <charset val="163"/>
          </rPr>
          <t>AutoBVT:</t>
        </r>
        <r>
          <rPr>
            <sz val="9"/>
            <color indexed="81"/>
            <rFont val="Tahoma"/>
            <family val="2"/>
            <charset val="163"/>
          </rPr>
          <t xml:space="preserve">
</t>
        </r>
      </text>
    </comment>
  </commentList>
</comments>
</file>

<file path=xl/sharedStrings.xml><?xml version="1.0" encoding="utf-8"?>
<sst xmlns="http://schemas.openxmlformats.org/spreadsheetml/2006/main" count="1507" uniqueCount="674">
  <si>
    <t>(3) Đối với các chỉ tiêu thu NSĐP, so sánh dự toán năm kế hoạch với ước thực hiện năm hiện hành. Đối với các chỉ
 tiêu chi NSĐP, so sánh dự toán năm kế hoạch với dự toán năm hiện hành.</t>
  </si>
  <si>
    <t>(2) Năm đầu thời kỳ ổn định ngân sách, dự toán chi đầu tư phát triển ngân sách địa phương được 
xác định bằng định mức phân bổ chi đầu tư phát triển do Ủy ban thường vụ Quốc hội quyết định cộng với (+) số bội chi ngân sách địa phương (nếu có) hoặc trừ đi (-) số bội thu ngân sách địa phương và chi trả nợ lãi (nếu có).</t>
  </si>
  <si>
    <t>Chi tế, dân số và gia đình</t>
  </si>
  <si>
    <t>I.5</t>
  </si>
  <si>
    <t>Tươngđối  (%)</t>
  </si>
  <si>
    <t>4=2/1</t>
  </si>
  <si>
    <t>( Kèm theo Nghị quyết số: 09 /NQ-HĐND, ngày 19/12 /2018 của HĐND huyện Sa Thầy )</t>
  </si>
  <si>
    <t>5=3/2</t>
  </si>
  <si>
    <t>10. cấp quyền khai thác khoáng sản</t>
  </si>
  <si>
    <t>11. Thu khác</t>
  </si>
  <si>
    <t>Biểu mẫu số 30</t>
  </si>
  <si>
    <t>(Dùng cho ngân sách tỉnh, huyện)</t>
  </si>
  <si>
    <t>Đơn vị: Triệu đồng</t>
  </si>
  <si>
    <t>STT</t>
  </si>
  <si>
    <t>Nội dung</t>
  </si>
  <si>
    <t>So sánh (3)</t>
  </si>
  <si>
    <t>Tuyệt đối</t>
  </si>
  <si>
    <t>A</t>
  </si>
  <si>
    <t>B</t>
  </si>
  <si>
    <t>I</t>
  </si>
  <si>
    <t>Nguồn thu ngân sách</t>
  </si>
  <si>
    <t>Thu ngân sách được hưởng theo phân cấp</t>
  </si>
  <si>
    <t>Thu bổ sung từ ngân sách cấp trên</t>
  </si>
  <si>
    <t>-</t>
  </si>
  <si>
    <t>Thu bổ sung cân đối ngân sách</t>
  </si>
  <si>
    <t>Thu bổ sung có mục tiêu</t>
  </si>
  <si>
    <t>Thu từ quỹ dự trữ tài chính (1)</t>
  </si>
  <si>
    <t>Thu kết dư</t>
  </si>
  <si>
    <t>Thu chuyển nguồn từ năm trước chuyển sang</t>
  </si>
  <si>
    <t>II</t>
  </si>
  <si>
    <t>Chi ngân sách</t>
  </si>
  <si>
    <t>Chi bổ sung cho ngân sách cấp dưới</t>
  </si>
  <si>
    <t>Chi bổ sung cân đối ngân sách</t>
  </si>
  <si>
    <t>Chi bổ sung có mục tiêu</t>
  </si>
  <si>
    <t>Chi chuyển nguồn sang năm sau</t>
  </si>
  <si>
    <t>III</t>
  </si>
  <si>
    <t>Bội chi NSĐP/Bội thu NSĐP (1)</t>
  </si>
  <si>
    <t>Thu bổ sung từ ngân sách cấp trên</t>
  </si>
  <si>
    <t>Thu kết dư</t>
  </si>
  <si>
    <t>Chi bổ sung cho ngân sách cấp dưới (2)</t>
  </si>
  <si>
    <t>(2) Ngân sách xã không có nhiệm vụ chi bổ sung cho ngân sách cấp dưới.</t>
  </si>
  <si>
    <t>Biểu mẫu số 31</t>
  </si>
  <si>
    <t>Đơn vị: Triệu đồng</t>
  </si>
  <si>
    <t>Tên đơn vị (1)</t>
  </si>
  <si>
    <t>So sánh (%)</t>
  </si>
  <si>
    <t>Tổng số</t>
  </si>
  <si>
    <t>Bao gồm</t>
  </si>
  <si>
    <t>Tổng số</t>
  </si>
  <si>
    <t>Thu nội địa</t>
  </si>
  <si>
    <t>(2) Thu NSNN trên địa bàn huyện, xã không có thu từ dầu thô, thu từ hoạt động xuất, nhập khẩu. Các chỉ tiêu cột 3, 4, 7, 8 chỉ ghi dòng tổng số.</t>
  </si>
  <si>
    <t>Biểu mẫu số 32</t>
  </si>
  <si>
    <t>Đơn vị: Triệu đồng</t>
  </si>
  <si>
    <t>Tên đơn vị</t>
  </si>
  <si>
    <t>Tổng thu NSNN trên địa bàn</t>
  </si>
  <si>
    <t>I- Thu nội địa</t>
  </si>
  <si>
    <t>1. Thu từ khu vực DNNN do trung ương quản lý</t>
  </si>
  <si>
    <t>2. Thu từ khu vực DNNN do địa phương quản lý</t>
  </si>
  <si>
    <t>TỔNG SỐ</t>
  </si>
  <si>
    <t>(2) Thu nội địa chi tiết từng khu vực thu, khoản thu.</t>
  </si>
  <si>
    <t>(3) Thu NSNN trên địa bàn huyện, xã không có thu từ dầu thô, thu từ hoạt động xuất, nhập khẩu. Các chỉ tiêu cột 6, 7, 8, 9, 10, 11, 12, 13 chỉ ghi dòng tổng số.</t>
  </si>
  <si>
    <t>Biểu mẫu số 33</t>
  </si>
  <si>
    <t>TỔNG CHI NSĐP</t>
  </si>
  <si>
    <t>Chi đầu tư cho các dự án</t>
  </si>
  <si>
    <t>Chi giáo dục - đào tạo và dạy nghề</t>
  </si>
  <si>
    <t>Chi khoa học và công nghệ</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</si>
  <si>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</si>
  <si>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</si>
  <si>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</si>
  <si>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IV</t>
  </si>
  <si>
    <t>Chi bổ sung quỹ dự trữ tài chính (2)</t>
  </si>
  <si>
    <t>V</t>
  </si>
  <si>
    <t>Dự phòng ngân sách</t>
  </si>
  <si>
    <t>VI</t>
  </si>
  <si>
    <t>Chi tạo nguồn, điều chỉnh tiền lương</t>
  </si>
  <si>
    <t>C</t>
  </si>
  <si>
    <t>CHI CHUYỂN NGUỒN SANG NĂM SAU</t>
  </si>
  <si>
    <t>CHI BỔ SUNG CÂN ĐỐI CHO NGÂN SÁCH CẤP DƯỚI (1)</t>
  </si>
  <si>
    <t>Chi đầu tư phát triển (2)</t>
  </si>
  <si>
    <t>Chi quốc phòng</t>
  </si>
  <si>
    <t>Chi an ninh và trật tự an toàn xã hội</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</si>
  <si>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</si>
  <si>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</si>
  <si>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</si>
  <si>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</si>
  <si>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</si>
  <si>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</si>
  <si>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</si>
  <si>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</si>
  <si>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đầu tư và hỗ trợ vốn cho các doanh nghiệp cung cấp sản phẩm, dịch vụ công ích do Nhà nước đặt hàng, các tổ chức kinh tế,</t>
  </si>
  <si>
    <t>Chi thường xuyên</t>
  </si>
  <si>
    <t>Chi giáo dục - đào tạo và dạy nghề</t>
  </si>
  <si>
    <t>Chi khoa học và công nghệ (3)</t>
  </si>
  <si>
    <t>Chi an ninh và trật tự an toàn xã hội</t>
  </si>
  <si>
    <t>Chi y tế, dân số và gia đình</t>
  </si>
  <si>
    <t>Chi thể dục thể thao</t>
  </si>
  <si>
    <t>Chi hoạt động của cơ quan quản lý nhà nước, đảng, đoàn thể</t>
  </si>
  <si>
    <t>Chi thường xuyên khác</t>
  </si>
  <si>
    <t>(3) Theo quy định tại Điều 7, Điều 11 và Điều 39 Luật NSNN, ngân sách huyện, xã không có nhiệm vụ chi nghiên cứu khoa học và công nghệ, chi trả lãi vay, chi bổ sung quỹ dự trữ tài chính.</t>
  </si>
  <si>
    <t>Biểu mẫu số 35</t>
  </si>
  <si>
    <t>Chi dự phòng ngân sách</t>
  </si>
  <si>
    <t>Chi chương trình MTQG</t>
  </si>
  <si>
    <t>Chi chuyển nguồn sang ngân sách năm sau</t>
  </si>
  <si>
    <t>Chi đầu tư phát triển</t>
  </si>
  <si>
    <t>CÁC CƠ QUAN, TỔ CHỨC</t>
  </si>
  <si>
    <t>CHI DỰ PHÒNG NGÂN SÁCH</t>
  </si>
  <si>
    <t>CHI TẠO NGUỒN, ĐIỀU CHỈNH TIỀN LƯƠNG</t>
  </si>
  <si>
    <t>VII</t>
  </si>
  <si>
    <t>CHI CHUYỂN NGUỒN SANG NGÂN SÁCH NĂM SAU</t>
  </si>
  <si>
    <t>Biểu mẫu số 36</t>
  </si>
  <si>
    <t>Chi văn hóa thông tin</t>
  </si>
  <si>
    <t>Chi bảo vệ môi trường</t>
  </si>
  <si>
    <t>Trong đó</t>
  </si>
  <si>
    <t>Chi giao thông</t>
  </si>
  <si>
    <t>Biểu mẫu số 37</t>
  </si>
  <si>
    <t>Chi nông nghiệp, lâm nghiệp, thủy lợi, thủy sản</t>
  </si>
  <si>
    <t>Tên đơn vị (1)</t>
  </si>
  <si>
    <t>Biểu mẫu số 39</t>
  </si>
  <si>
    <t>Thu NSĐP được hưởng theo phân cấp</t>
  </si>
  <si>
    <t>Chia ra</t>
  </si>
  <si>
    <t>Số bổ sung cân đối từ ngân sách cấp trên</t>
  </si>
  <si>
    <t>Số bổ sung thực hiện cải cách tiền lương</t>
  </si>
  <si>
    <t>Tổng chi cân đối NSĐP</t>
  </si>
  <si>
    <t>Thu NSĐP hưởng 100%</t>
  </si>
  <si>
    <t>Thu phân chia</t>
  </si>
  <si>
    <t>Trong đó: Phần NSĐP được hưởng</t>
  </si>
  <si>
    <t>2=3+5</t>
  </si>
  <si>
    <t>9=2+6+7+8</t>
  </si>
  <si>
    <t>Thuế giá trị gia tăng</t>
  </si>
  <si>
    <t>Thuế thu nhập doanh nghiệp</t>
  </si>
  <si>
    <t>Biểu mẫu số 41</t>
  </si>
  <si>
    <t>Tổng chi ngân sách địa phương</t>
  </si>
  <si>
    <t>Tổng chi cân đối ngân sách địa phương</t>
  </si>
  <si>
    <t>Chi chương trình mục tiêu</t>
  </si>
  <si>
    <t>Chi bổ sung quỹ dự trữ tài chính</t>
  </si>
  <si>
    <t>Chi tạo nguồn điều chỉnh tiền lương</t>
  </si>
  <si>
    <t>Bổ sung vốn đầu tư để thực hiện các chương trình mục tiêu, nhiệm vụ</t>
  </si>
  <si>
    <t>Bổ sung vốn sự nghiệp thực hiện các chế độ, chính sách</t>
  </si>
  <si>
    <t>Bổ sung thực hiện các chương trình mục tiêu quốc gia</t>
  </si>
  <si>
    <t>Chi đầu tư từ nguồn vốn trong nước</t>
  </si>
  <si>
    <t>Chi đầu tư từ nguồn thu XSKT (nếu có)</t>
  </si>
  <si>
    <t>Chi đầu tư từ nguồn thu tiền sử dụng đất</t>
  </si>
  <si>
    <t>Chi giáo dục, đào tạo và dạy nghề</t>
  </si>
  <si>
    <t>Chi khoa học và công nghệ (2)</t>
  </si>
  <si>
    <t>1=2+15 +19</t>
  </si>
  <si>
    <t>2=3+9+ 12+13+14</t>
  </si>
  <si>
    <t>3=6+7+8</t>
  </si>
  <si>
    <t>15=16+ 17+18</t>
  </si>
  <si>
    <t>Biểu mẫu số 42</t>
  </si>
  <si>
    <t>1=2+3+4</t>
  </si>
  <si>
    <t>Biểu mẫu số 45</t>
  </si>
  <si>
    <t>Tên quỹ</t>
  </si>
  <si>
    <t>Tổng nguồn vốn phát sinh trong năm</t>
  </si>
  <si>
    <t>Tổng sử dụng nguồn vốn trong năm</t>
  </si>
  <si>
    <t>Chênh lệch nguồn trong năm</t>
  </si>
  <si>
    <t>Trong đó: Hỗ trợ từ NSĐP (nếu có)</t>
  </si>
  <si>
    <t>5=2-4</t>
  </si>
  <si>
    <t>6=1+2-4</t>
  </si>
  <si>
    <t>10=7-9</t>
  </si>
  <si>
    <t>11=6+7-9</t>
  </si>
  <si>
    <t>a</t>
  </si>
  <si>
    <t>b</t>
  </si>
  <si>
    <t>Biểu mẫu số 47</t>
  </si>
  <si>
    <t>NGÂN SÁCH CẤP HUYỆN</t>
  </si>
  <si>
    <t>NGÂN SÁCH XÃ</t>
  </si>
  <si>
    <t>Thu NS cấp dưới nộp lên</t>
  </si>
  <si>
    <t>Chi thuộc nhiệm vụ của ngân sách cấp xã</t>
  </si>
  <si>
    <t>Chi thuộc nhiệm vụ của ngân sách cấp huyện</t>
  </si>
  <si>
    <t>UBND thị trấn</t>
  </si>
  <si>
    <t>Xã Sa Nghĩa</t>
  </si>
  <si>
    <t>Xã Sa Sơn</t>
  </si>
  <si>
    <t>Xã Sa Nhơn</t>
  </si>
  <si>
    <t>Xã Sa Bình</t>
  </si>
  <si>
    <t>Xã Ya Ly</t>
  </si>
  <si>
    <t>Xã Ya Xiêr</t>
  </si>
  <si>
    <t>Xã Ya Tăng</t>
  </si>
  <si>
    <t>Xã Rờ Kơi</t>
  </si>
  <si>
    <t>Xã Mô Rai</t>
  </si>
  <si>
    <t>Xã Hơ Moong</t>
  </si>
  <si>
    <t>HUYỆN SA THẦY</t>
  </si>
  <si>
    <t>DỰ TOÁN CHI NGÂN SÁCH ĐỊA PHƯƠNG, CHI NGÂN SÁCH CẤP HUYỆN</t>
  </si>
  <si>
    <t>UBND HUYỆN SA THẦY</t>
  </si>
  <si>
    <t>HĐND huyện giao</t>
  </si>
  <si>
    <t>CHI CÂN ĐỐI NGÂN SÁCH ĐỊA PHƯƠNG</t>
  </si>
  <si>
    <t>Trong đó: Chi cân đối ngân sách địa phương tính tỷ lệ điều tiết, số bổ sung cân đối từ ngân sách trung ương cho ngân sách địa phương (1)</t>
  </si>
  <si>
    <t>1.1</t>
  </si>
  <si>
    <t>Chi đầu tư và hỗ trợ vốn cho các doanh nghiệp cung cấp sản phẩm, dịch vụ công ích do Nhà nước đặt hàng, các tổ chức kinh tế, các tổ chức tài chính của địa phương theo quy định của pháp luật</t>
  </si>
  <si>
    <t>1.2</t>
  </si>
  <si>
    <t>Chi đầu tư phát triển của các dự án phân theo nguồn vốn</t>
  </si>
  <si>
    <t>Chi đầu tư XDCB vốn trong nước</t>
  </si>
  <si>
    <t>c</t>
  </si>
  <si>
    <t>Chi đầu tư từ nguồn thu xổ số kiến thiết</t>
  </si>
  <si>
    <t>d</t>
  </si>
  <si>
    <t>Chi đầu tư từ nguồn bội chi ngân sách địa phương</t>
  </si>
  <si>
    <t>Chi đầu tư phát triển phân theo lĩnh vực</t>
  </si>
  <si>
    <t>Chi an ninh</t>
  </si>
  <si>
    <t>Chi y tế, dân số và gia đình</t>
  </si>
  <si>
    <t>Chi hoạt động kinh tế</t>
  </si>
  <si>
    <t>Chi khác</t>
  </si>
  <si>
    <t>Chi sự nghiệp bảo vệ môi trường</t>
  </si>
  <si>
    <t>Chi thường xuyên các lĩnh vực khác</t>
  </si>
  <si>
    <t>Chi trả nợ lãi do chính quyền địa phương vay</t>
  </si>
  <si>
    <t>Chi tạo nguồn cải cách tiền lương</t>
  </si>
  <si>
    <t>Chi từ nguồn bổ sung có mục tiêu</t>
  </si>
  <si>
    <t>Chi thực hiện các chương trình mục tiêu quốc gia</t>
  </si>
  <si>
    <t xml:space="preserve"> Chương trình MTQG giảm nghèo bền vững</t>
  </si>
  <si>
    <t>+</t>
  </si>
  <si>
    <t xml:space="preserve"> Chương trình MTQG NTM</t>
  </si>
  <si>
    <t>Chi sự nghiệp</t>
  </si>
  <si>
    <t>Chi đầu tư thực hiện các chương trình mục tiêu, nhiệm vụ khác</t>
  </si>
  <si>
    <t>2.1</t>
  </si>
  <si>
    <t xml:space="preserve"> Ngân sách TW bổ sung</t>
  </si>
  <si>
    <t>Chi XDCB</t>
  </si>
  <si>
    <t xml:space="preserve"> Kinh phí thực hiện nhiệm vụ đảm bảo trật tự an toàn giao thông</t>
  </si>
  <si>
    <t>2.2</t>
  </si>
  <si>
    <t xml:space="preserve"> Ngân sách tỉnh bổ sung</t>
  </si>
  <si>
    <t>Hỗ trợ đầu tư các xã biên giới</t>
  </si>
  <si>
    <t xml:space="preserve"> Chi đo đạc, cấp giấy chứng nhận, quản lý đất đai</t>
  </si>
  <si>
    <t>Sửa chữa cầu treo</t>
  </si>
  <si>
    <t>Hỗ trợ đô thị mới được công nhận loại V</t>
  </si>
  <si>
    <t>Bổ sung tăng chi SN môi trường</t>
  </si>
  <si>
    <t>Hỗ trợ chi thường xuyên NS huyện, xã chưa cân đối được nguồn</t>
  </si>
  <si>
    <t>Chi từ nguồn hỗ trợ thực hiện các chế độ, chính sách theo quy định</t>
  </si>
  <si>
    <t>3.1</t>
  </si>
  <si>
    <t>Nguồn NS TW bổ sung mục tiêu</t>
  </si>
  <si>
    <t xml:space="preserve"> Hỗ trợ học tập và miễm giảm học phí</t>
  </si>
  <si>
    <t xml:space="preserve"> Cấp bù học phí giáo dục nghề nghiệp và giáo dục Đại học là người DTTS thuộc hộ nghèo, cận nghèo </t>
  </si>
  <si>
    <t xml:space="preserve"> Kinh phí Hỗ trợ ăn trưa cho trẻ Mẫu giáo từ 3-5 tuổi theo QĐ 239/QĐ-TTg ; NĐ 06/2018</t>
  </si>
  <si>
    <t>Hỗ trợ học sinh khuyết tật ( Học bổng và đồ dùng dạy học theo Thông tư Liên tịch số 42/2013/TTLT-BGDĐT-BLĐTBXH-BTC)</t>
  </si>
  <si>
    <t xml:space="preserve"> Học sinh bán trú và Trường PTDT bán trú theo (QĐ 85/2010) NĐ 116/CP</t>
  </si>
  <si>
    <t xml:space="preserve"> Kinh phí mua thẻ BHYT cho các đối tượng CCB, TNXP, BTXH, HS,SV hộ cận nghèo, hộ nông lâm ngư nghiệp có mức sống trung bình, người hiến bộ phận cơ thể người</t>
  </si>
  <si>
    <t xml:space="preserve">  Kinh phí mua thẻ BHYT cho các đối tượng CCB, TNXP</t>
  </si>
  <si>
    <t xml:space="preserve">  Kinh phí mua thẻ BHYT cho các đối tượng bảo trợ xã hội</t>
  </si>
  <si>
    <t xml:space="preserve"> Hỗ trợ chính sách đối với đối tượng bảo trợ xã hội; Hỗ trợ tiền điện hộ nghèo, hộ chính sách xã hội; Trợ giá trực tiếp cho người dân tộc thiểu số nghèo ở vùng khó khăn; Hỗ trợ chính sách người có uy tín trong đồng bào dân tộc thiểu số; hỗ trợ tổ chức, đơn vị sử dụng lao động là người ĐBDTTS</t>
  </si>
  <si>
    <t xml:space="preserve"> Hỗ trợ thực hiện chính sách đối với đối tượng BTXH theo NĐ 136/CP</t>
  </si>
  <si>
    <t xml:space="preserve"> Hỗ trợ tiền điện hộ nghèo, hộ chính sách xã hội ( nộp trả KP thừa 2017)</t>
  </si>
  <si>
    <t xml:space="preserve"> Trợ giá trực tiếp cho người dân tộc thiểu số nghèo ở vùng khó khăn theo QĐ 102/CP;</t>
  </si>
  <si>
    <t xml:space="preserve"> Hỗ trợ chính sách người có uy tín trong đồng bào dân tộc thiểu số; </t>
  </si>
  <si>
    <t>Sự nghiệp kinh tế</t>
  </si>
  <si>
    <t>Kinh phí thực hiện Đề án mạng lưới thú y</t>
  </si>
  <si>
    <t>Thực hiện cuộc vận động toàn dân xây dựng nông thôn mới, đô thị văn minh</t>
  </si>
  <si>
    <t>3.2</t>
  </si>
  <si>
    <t>Nguồn NS Tỉnh bổ sung mục tiêu</t>
  </si>
  <si>
    <t xml:space="preserve"> Hỗ trợ học sinh DTTS rất ít người theo QĐ 2123/QĐ-TTg</t>
  </si>
  <si>
    <t>Hỗ trợ tiền ăn đào tạo, bồi dưỡng CB Không chuyên trách cấp xã, thôn theo TT 36/TT-BTC</t>
  </si>
  <si>
    <t xml:space="preserve"> Chi trả phụ cấp hàng tháng cho đội ngũ cộng tác viên làm công tác giảm nghèo 2018</t>
  </si>
  <si>
    <t>Điều chuyển biên chế từ Sở NNPTNT tỉnh về huyện</t>
  </si>
  <si>
    <t>Điều chuyển biên chế từ Sở TN&amp;MT tỉnh về huyện</t>
  </si>
  <si>
    <t>BỘI CHI NGÂN SÁCH ĐỊA PHƯƠNG/BỘI THU NGÂN SÁCH ĐỊA PHƯƠNG</t>
  </si>
  <si>
    <t>CHI CHUYỂN NGUỒN SANG NĂM SAU CỦA NGÂN SÁCH ĐỊA PHƯƠNG</t>
  </si>
  <si>
    <t>e</t>
  </si>
  <si>
    <t>TỔNG CHI NGÂN SÁCH ĐỊA PHƯƠNG</t>
  </si>
  <si>
    <t>NS cấp huyện</t>
  </si>
  <si>
    <t>Ngân 
sách xã</t>
  </si>
  <si>
    <t>Chi đầu tư phát triển khác</t>
  </si>
  <si>
    <t>CHI NGÂN SÁCH CẤP HUYỆN THEO LĨNH VỰC</t>
  </si>
  <si>
    <t>Chi trả nợ lãi do chính quyền địa phương vay (2)</t>
  </si>
  <si>
    <t>I.1</t>
  </si>
  <si>
    <t>Quản lý hành chính</t>
  </si>
  <si>
    <t>Đơn vị quản lý nhà nước</t>
  </si>
  <si>
    <t>Văn phòng HĐND- UBND</t>
  </si>
  <si>
    <t>Phòng Nông nghiệp PTNT</t>
  </si>
  <si>
    <t>Phòng Tư Pháp</t>
  </si>
  <si>
    <t>Phòng Kinh tế- hạ tầng</t>
  </si>
  <si>
    <t>Phòng Tài chính- Kế hoạch</t>
  </si>
  <si>
    <t>Phòng giáo dục &amp; đào tạo</t>
  </si>
  <si>
    <t>Phòng Y Tế</t>
  </si>
  <si>
    <t>Phòng Lao động TB&amp;XH</t>
  </si>
  <si>
    <t>Phòng Văn Hóa</t>
  </si>
  <si>
    <t>Phòng Tài nguyên &amp; môi trường</t>
  </si>
  <si>
    <t>Phòng Nội vụ</t>
  </si>
  <si>
    <t>Thanh tra</t>
  </si>
  <si>
    <t>Phòng Dân tộc</t>
  </si>
  <si>
    <t>Cơ quan Đảng, đoàn thể</t>
  </si>
  <si>
    <t>Huyện ủy</t>
  </si>
  <si>
    <t>Ủy ban mặt trận TQVN</t>
  </si>
  <si>
    <t>Đoàn thanh nhiên</t>
  </si>
  <si>
    <t>Hội liên hiệp phụ nữ</t>
  </si>
  <si>
    <t xml:space="preserve"> Hội nông dân</t>
  </si>
  <si>
    <t>Hội cựu chiên binh</t>
  </si>
  <si>
    <t>Hội chữ thập đỏ</t>
  </si>
  <si>
    <t>Trung tâm bồi dưỡng chính trị</t>
  </si>
  <si>
    <t>I.2</t>
  </si>
  <si>
    <t>Đơn vị sự nghiệp công lập</t>
  </si>
  <si>
    <t>Đài Truyền thanh- truyền hình</t>
  </si>
  <si>
    <t>Trung tâm GDNN-GDTX</t>
  </si>
  <si>
    <t>Ban quản lý Dự án đầu tư XDCB</t>
  </si>
  <si>
    <t>Các xã, thị trấn</t>
  </si>
  <si>
    <t>Thị trấn</t>
  </si>
  <si>
    <t>Xã Ya tăng</t>
  </si>
  <si>
    <t>I.4</t>
  </si>
  <si>
    <t>Các đơn vị khác</t>
  </si>
  <si>
    <t>Công an</t>
  </si>
  <si>
    <t>Huyện đội</t>
  </si>
  <si>
    <t>Toà án nhân dân huyện</t>
  </si>
  <si>
    <t>Viện kiểm sát nhân dân</t>
  </si>
  <si>
    <t>UB Dân số KHHGĐ</t>
  </si>
  <si>
    <t>Trung tâm y tế</t>
  </si>
  <si>
    <t>Trung tâm giáo dục cộng đồng ( các xã, thị trấn)</t>
  </si>
  <si>
    <t>Trường Dân tộc nội trú</t>
  </si>
  <si>
    <t>Trường Trung học phổ thông</t>
  </si>
  <si>
    <t>Chi cục thuế</t>
  </si>
  <si>
    <t>Ngân hàng chính sách</t>
  </si>
  <si>
    <t>Liên đoàn lao động  huyện</t>
  </si>
  <si>
    <t>CHI TRẢ NỢ LÃI CÁC KHOẢN DO CHÍNH QUYỀN ĐỊA PHƯƠNG VAY (2)</t>
  </si>
  <si>
    <t>CHI BỔ SUNG QUỸ DỰ TRỮ TÀI CHÍNH (2)</t>
  </si>
  <si>
    <t>CHI BỔ SUNG CÓ MỤC TIÊU CHO NGÂN SÁCH CẤP DƯỚI (3)</t>
  </si>
  <si>
    <t>CÂN ĐỐI NGUỒN THU, CHI DỰ TOÁN NGÂN SÁCH CẤP HUYỆN</t>
  </si>
  <si>
    <t>3. Thu từ khu vực kinh tế NQD</t>
  </si>
  <si>
    <t>4.Lệ phí trước Bạ</t>
  </si>
  <si>
    <t>5. Thuế  đất  phi nông nghiệp</t>
  </si>
  <si>
    <t>6. Thuế thu nhập cá nhân</t>
  </si>
  <si>
    <t>6.Thu phí, lệ phí</t>
  </si>
  <si>
    <t>8. Thu tiền sủa dụng đất</t>
  </si>
  <si>
    <t>9. Thu cho thuê mặt đất mặt nước</t>
  </si>
  <si>
    <t>10. Thu khác</t>
  </si>
  <si>
    <t>DỰ TOÁN THU NGÂN SÁCH NHÀ NƯỚC TRÊN ĐỊA BÀN TỪNG XÃ THEO LĨNH VỰC NĂM 2019</t>
  </si>
  <si>
    <t>Chi giáo dục - đào tạo và 
dạy nghề</t>
  </si>
  <si>
    <t>Chi khoa
 học và 
công nghệ</t>
  </si>
  <si>
    <t>Chi 
quốc
 phòng</t>
  </si>
  <si>
    <t>Chi phát 
thanh, truyền
 hình, 
thông tấn</t>
  </si>
  <si>
    <t>Chi thể
 dục thể
 thao</t>
  </si>
  <si>
    <t>Chi bảo 
vệ môi
trường</t>
  </si>
  <si>
    <t>Chi các 
hoạt động
 kinh tế</t>
  </si>
  <si>
    <t>Chi bảo
 đảm 
xã hội</t>
  </si>
  <si>
    <t>1</t>
  </si>
  <si>
    <t xml:space="preserve">Ban QLDA ĐTXD huyện </t>
  </si>
  <si>
    <t>2</t>
  </si>
  <si>
    <t>3</t>
  </si>
  <si>
    <t>Phòng TNMT</t>
  </si>
  <si>
    <t>4</t>
  </si>
  <si>
    <t xml:space="preserve">UBND các xã, thị trấn </t>
  </si>
  <si>
    <t>5</t>
  </si>
  <si>
    <t>6</t>
  </si>
  <si>
    <t>7</t>
  </si>
  <si>
    <t>8</t>
  </si>
  <si>
    <t>9</t>
  </si>
  <si>
    <t>10</t>
  </si>
  <si>
    <t>11</t>
  </si>
  <si>
    <t xml:space="preserve">DỰ TOÁN THU, CHI NGÂN SÁCH ĐỊA PHƯƠNG </t>
  </si>
  <si>
    <t>Đơn vị QLNN</t>
  </si>
  <si>
    <t>DỰ TOÁN BỔ SUNG CÓ MỤC TIÊU TỪ NGÂN SÁCH CẤP TỈNH</t>
  </si>
  <si>
    <t>12</t>
  </si>
  <si>
    <t>13</t>
  </si>
  <si>
    <t>14</t>
  </si>
  <si>
    <t>15</t>
  </si>
  <si>
    <t>17</t>
  </si>
  <si>
    <t>Trung tâm Môi trường DV Đô thị</t>
  </si>
  <si>
    <t>Trung tâm dịch vụ nông nghiệp</t>
  </si>
  <si>
    <t>Trường THPT quang trung; DTNT; GDNN-GDTX</t>
  </si>
  <si>
    <t xml:space="preserve">Chi công tác đo đạc, quản lý đất đai </t>
  </si>
  <si>
    <t>Bổ sung Chương trình MTQG</t>
  </si>
  <si>
    <t>Bổ sung mục tiêu, nhiệm vụ</t>
  </si>
  <si>
    <t>Đoàn thanh niên</t>
  </si>
  <si>
    <t>( Kèm theo Nghị quyết số 41 /NQ-HĐND ngày 20 /12/ 2019 của HĐND huyện Sa Thầy)</t>
  </si>
  <si>
    <t>Trung tâm văn hóa- TT, du lịch và truyền thông</t>
  </si>
  <si>
    <t>Trường THPT quang trung; PTDTNT; GDNN-GDTX</t>
  </si>
  <si>
    <t>Dự toán năm 2021</t>
  </si>
  <si>
    <t>Dự toán 2021</t>
  </si>
  <si>
    <t>UTH/KH</t>
  </si>
  <si>
    <t xml:space="preserve"> Sự nghiệp giáo dục - đào tạo và dạy nghề</t>
  </si>
  <si>
    <t xml:space="preserve"> Sự nghiệp giáo dục </t>
  </si>
  <si>
    <t>Mầm non</t>
  </si>
  <si>
    <t>Trường Mầm non Sơn Ca</t>
  </si>
  <si>
    <t>Trường Mầm non Sao Mai</t>
  </si>
  <si>
    <t>Trường Mầm non Vàng Anh</t>
  </si>
  <si>
    <t>Trường Mầm non Ánh Dương</t>
  </si>
  <si>
    <t>Trường Mầm non Hoa Sen</t>
  </si>
  <si>
    <t>Trường Mầm non Tuổi Thơ</t>
  </si>
  <si>
    <t>Trường Mầm non Bình Minh</t>
  </si>
  <si>
    <t>Trường Mầm non Rờ Kơi</t>
  </si>
  <si>
    <t>Trường Mầm non Sa Nhơn</t>
  </si>
  <si>
    <t>Trường Mầm non Ya Xiêr</t>
  </si>
  <si>
    <t>Trường Mầm non Mô Ray</t>
  </si>
  <si>
    <t>Trung học cơ sở</t>
  </si>
  <si>
    <t>Trường THCS Rờ Kơi</t>
  </si>
  <si>
    <t>Trường THCS Phan Đình Phùng</t>
  </si>
  <si>
    <t>Trường TH - THCS Chu Văn An</t>
  </si>
  <si>
    <t>Trường TH - THCS Ya Ly</t>
  </si>
  <si>
    <t>Trường TH - THCS Sa Nhơn</t>
  </si>
  <si>
    <t>Trường TH - THCS Ya Xiêr</t>
  </si>
  <si>
    <t>Trường TH - THCS Nguyễn Trãi</t>
  </si>
  <si>
    <t>Trường TH - THCS Lê Qúy Đôn</t>
  </si>
  <si>
    <t xml:space="preserve"> Sự nghiệp đào tạo và dạy nghề</t>
  </si>
  <si>
    <t>Sự nghiệp bảo vệ môi trường</t>
  </si>
  <si>
    <t>Thu từ dịch vụ thu gom vận chuyển rác</t>
  </si>
  <si>
    <t>Thu dịch vụ sử dụng mặt bằng kinh doanh</t>
  </si>
  <si>
    <t>Thu từ dịch vụ trông giữ xe</t>
  </si>
  <si>
    <t xml:space="preserve"> Sự nghiệp văn hóa thông tin</t>
  </si>
  <si>
    <t xml:space="preserve"> Sự nghiệp phát thanh truyền hình</t>
  </si>
  <si>
    <t xml:space="preserve"> Sự nghiệp thể dục thể thao</t>
  </si>
  <si>
    <t>Văn phòng huyện ủy</t>
  </si>
  <si>
    <t>Quỹ khuyến học</t>
  </si>
  <si>
    <t>Quỹ vì người nghèo</t>
  </si>
  <si>
    <t>Quỹ cứu trợ</t>
  </si>
  <si>
    <t>Quỹ đền ơn đáp nghĩa</t>
  </si>
  <si>
    <t>Quỹ hỗ trợ nông dân</t>
  </si>
  <si>
    <t>Tổng cộng</t>
  </si>
  <si>
    <t>Trung tâm văn hóa- TT, DL-TT</t>
  </si>
  <si>
    <t>Hỗ trợ Qũy hỗ trợ nông dân theo
 Quyết định 69/QĐ-UBND ngày 09/01/2020 ( Hội nông dân)</t>
  </si>
  <si>
    <t>Hỗ trợ Qũy hỗ trợ nông dân theo Quyết định 69/QĐ-UBND ngày 09/01/2020 (Hội nông dân)</t>
  </si>
  <si>
    <t>Trung tâm văn hóa- TT, DL&amp; Truyền thông</t>
  </si>
  <si>
    <t>Dự toán giao</t>
  </si>
  <si>
    <t>Ghi chú</t>
  </si>
  <si>
    <t>UBND  tỉnh giao</t>
  </si>
  <si>
    <t xml:space="preserve"> Hỗ trợ đầu tư xây dụng nông thôn mới</t>
  </si>
  <si>
    <t>Thực hiện nhiệm vụ quy hoạch</t>
  </si>
  <si>
    <t>2=3+4</t>
  </si>
  <si>
    <t>Chi nguồn thu xổ số Kiến thiết: Ưu tiên Công trình Gíáo dục-ĐT thực hiện CTMTQG xây dựng NTM)</t>
  </si>
  <si>
    <t>Ước thực hiện năm 2021</t>
  </si>
  <si>
    <t>Dự toán năm 2022</t>
  </si>
  <si>
    <t>Dự toán năm 2022</t>
  </si>
  <si>
    <t>DỰ TOÁN THU NGÂN SÁCH NHÀ NƯỚC TRÊN ĐỊA BÀN TỪNG XÃ THEO LĨNH VỰC NĂM 2022</t>
  </si>
  <si>
    <t xml:space="preserve"> VÀ CHI NGÂN SÁCH XÃ THEO CƠ CẤU CHI NĂM 2022</t>
  </si>
  <si>
    <t>DỰ TOÁN CHI NGÂN SÁCH CẤP HUYỆN THEO LĨNH VỰC NĂM 2022</t>
  </si>
  <si>
    <t>Dự toán  giao năm 2021</t>
  </si>
  <si>
    <t>DỰ TOÁN CHI NGÂN SÁCH CẤP HUYỆN CHO TỪNG CƠ QUAN, TỔ CHỨC THEO LĨNH VỰC NĂM 2022</t>
  </si>
  <si>
    <t>DỰ TOÁN CHI ĐẦU TƯ PHÁT TRIỂN CỦA NGÂN SÁCH CẤP HUYỆN CHO TỪNG CƠ QUAN, TỔ CHỨC THEO LĨNH VỰC NĂM 2022</t>
  </si>
  <si>
    <t>DỰ TOÁN CHI THƯỜNG XUYÊN CỦA NGÂN SÁCH CẤP HUYỆN CHO TỪNG CƠ QUAN, TỔ CHỨC THEO LĨNH VỰC NĂM 2022</t>
  </si>
  <si>
    <t>VÀ SỐ BỔ SUNG CÂN ĐỐI TỪ NGÂN SÁCH CẤP TRÊN CHO NGÂN SÁCH CẤP DƯỚI NĂM 2022</t>
  </si>
  <si>
    <t>DỰ TOÁN CHI NGÂN SÁCH HUYỆN, XÃ NĂM 2022</t>
  </si>
  <si>
    <t xml:space="preserve"> CHO NGÂN SÁCH TỪNG HUYỆN NĂM 2022</t>
  </si>
  <si>
    <t>KẾ HOẠCH TÀI CHÍNH CỦA CÁC QUỸ TÀI CHÍNH NHÀ NƯỚC NGOÀI NGÂN SÁCH DO ĐỊA PHƯƠNG QUẢN LÝ NĂM 2022</t>
  </si>
  <si>
    <t>ĐÁNH GIÁ THỰC HIỆN THU DỊCH VỤ CỦA ĐƠN VỊ SỰ NGHIỆP CÔNG NĂM 2022</t>
  </si>
  <si>
    <t>Chi đầu tư XDCB</t>
  </si>
  <si>
    <t xml:space="preserve"> VÀ NGÂN SÁCH XÃ NĂM 2022</t>
  </si>
  <si>
    <t>Xã Sa nghĩa</t>
  </si>
  <si>
    <t>Xa Mô Ray</t>
  </si>
  <si>
    <t>8. Thu tiền sử dụng đất</t>
  </si>
  <si>
    <t>Chi đầu tư Công trình cấp bách</t>
  </si>
  <si>
    <t>Kinh phí thực hiện Đề án Cồng chiêng</t>
  </si>
  <si>
    <t>Chi công tác đo đạc, quản lý đất đai</t>
  </si>
  <si>
    <t>DỰ TOÁN THU NGÂN SÁCH NHÀ NƯỚC TRÊN ĐỊA BÀN TỪNG XÃ NĂM 2022</t>
  </si>
  <si>
    <t>Dự toán tỉnh giao</t>
  </si>
  <si>
    <t>Dự toán huyện giao</t>
  </si>
  <si>
    <t>;-</t>
  </si>
  <si>
    <t>Nguồn sự nghiệp kinh tế thực hiện các đề án (Chưa phân bổ)</t>
  </si>
  <si>
    <t>CCTL</t>
  </si>
  <si>
    <t>Chi công tác đo đạc, quản lý đất đai ( Chưa phân bổ)</t>
  </si>
  <si>
    <t>Phòng giáo dục &amp;Đào tạo</t>
  </si>
  <si>
    <t xml:space="preserve">Đơn vị sự nghiệp giáo dục </t>
  </si>
  <si>
    <t>Ước thực hiện năm 2021</t>
  </si>
  <si>
    <t>Kế hoạch năm 2022</t>
  </si>
  <si>
    <t>Mẫu biểu số 15/NĐ31</t>
  </si>
  <si>
    <t>CÂN ĐỐI NGÂN SÁCH ĐỊA PHƯƠNG NĂM 2022</t>
  </si>
  <si>
    <t>ĐVT: Triệu đồng</t>
  </si>
  <si>
    <t>Ước
 thực hiện năm 2021</t>
  </si>
  <si>
    <t>Dự toán 2022</t>
  </si>
  <si>
    <t>So sánh DT 2022
/UTH 2021 (3)</t>
  </si>
  <si>
    <t>Tỉnh giao</t>
  </si>
  <si>
    <t xml:space="preserve"> Huyện giao</t>
  </si>
  <si>
    <t>Huyện giao</t>
  </si>
  <si>
    <t>Tương 
đối (%)</t>
  </si>
  <si>
    <t>TỔNG NGUỒN THU NGÂN SÁCH ĐỊA PHƯƠNG</t>
  </si>
  <si>
    <t>Các khoản thu NSĐP hưởng 100%</t>
  </si>
  <si>
    <t>Các khoản thu phân chia NSĐP theo tỷ lệ %</t>
  </si>
  <si>
    <t>Thu loại trừ tiền sử dụng đất</t>
  </si>
  <si>
    <t xml:space="preserve"> Ngân sách cấp dưới nộp lên</t>
  </si>
  <si>
    <t>Chi đầu tư phát triển (1)</t>
  </si>
  <si>
    <t>Chi trả nợ lãi, phí</t>
  </si>
  <si>
    <t>Chi tạo nguồn thực hiện CCTL</t>
  </si>
  <si>
    <t>Chi thực hiện các chương trình mục tiêu, nhiệm vụ</t>
  </si>
  <si>
    <t>Chi thực hiện các chế độ, chính sách</t>
  </si>
  <si>
    <t>Biểu mẫu số 16/NĐ31</t>
  </si>
  <si>
    <t>DỰ TOÁN THU NGÂN SÁCH NHÀ NƯỚC THEO LĨNH VỰC NĂM 2022</t>
  </si>
  <si>
    <t>UTH năm 2021</t>
  </si>
  <si>
    <t>So sánh % DT2022/TH 2021</t>
  </si>
  <si>
    <t>Tổng
 thu NSNN</t>
  </si>
  <si>
    <t>Thu
 NSĐP</t>
  </si>
  <si>
    <t>Dự toán
 thu trên địa bàn</t>
  </si>
  <si>
    <t>Thu NSĐP</t>
  </si>
  <si>
    <t>Tổng thu NSNN</t>
  </si>
  <si>
    <t>TỔNG THU NSNN</t>
  </si>
  <si>
    <t>Thu từ khu vực DNNN trung ương quản lý</t>
  </si>
  <si>
    <t>Tr. Đó: Từ các nhà máy thủy điện</t>
  </si>
  <si>
    <t>1.3</t>
  </si>
  <si>
    <t>Thuế tài nguyên</t>
  </si>
  <si>
    <t>Thuế tài nguyên rừng</t>
  </si>
  <si>
    <t>Thuế tài nguyên khoáng sản</t>
  </si>
  <si>
    <t>Thu từ khu vực DNNN địa phương quản lý</t>
  </si>
  <si>
    <t>2.3</t>
  </si>
  <si>
    <t>Thuế TTĐB</t>
  </si>
  <si>
    <t>Thu từ KV DN có vốn đầu tư nước ngoài</t>
  </si>
  <si>
    <t>Thu từ khu vục kinh tế ngoài quốc doanh</t>
  </si>
  <si>
    <t>4.1</t>
  </si>
  <si>
    <t>Trong đó: Từ các nhà máy sản xuất chế biến TBS</t>
  </si>
  <si>
    <t>4.2</t>
  </si>
  <si>
    <t>Thuế thu nhập DN</t>
  </si>
  <si>
    <t>4.3</t>
  </si>
  <si>
    <t>Thuế TTĐB hàng nội địa</t>
  </si>
  <si>
    <t>4.4</t>
  </si>
  <si>
    <t>Thuế Tài nguyên nước</t>
  </si>
  <si>
    <t>Thuế tài nguyên khác</t>
  </si>
  <si>
    <t>4.5</t>
  </si>
  <si>
    <t>Thu khác ngoài QD</t>
  </si>
  <si>
    <t>Lệ phí trước bạ</t>
  </si>
  <si>
    <t>Thuế sử dụng đất nông nghiệp</t>
  </si>
  <si>
    <t>Thuế SD đất phi nông nghiệp</t>
  </si>
  <si>
    <t>Thuế thu nhập cá nhân</t>
  </si>
  <si>
    <t>Thu thuế bảo vệ môi trường</t>
  </si>
  <si>
    <t xml:space="preserve"> Thu từ hàng hóa nhập khẩu</t>
  </si>
  <si>
    <t xml:space="preserve"> Thu từ hàng hóa  sản xuất trong nước</t>
  </si>
  <si>
    <t>Thu phí và lệ phí</t>
  </si>
  <si>
    <t>Phí, lệ phí cơ quan Trung ương thu</t>
  </si>
  <si>
    <t>Phí, lệ phí cơ quan địa phương</t>
  </si>
  <si>
    <t>Phí bảo vệ môi trường khai thác khoáng sản</t>
  </si>
  <si>
    <t>Lệ phí môn bài</t>
  </si>
  <si>
    <t>Phí lệ phí khác</t>
  </si>
  <si>
    <t xml:space="preserve">  Tr.đó Phí sử dụng các công trình kết cấu hạ tầng</t>
  </si>
  <si>
    <t>Tiền sử dụng đất</t>
  </si>
  <si>
    <t xml:space="preserve">Từ dự án khai thác quỹ đất  </t>
  </si>
  <si>
    <t>Từ nguồn sử dụng đất khác</t>
  </si>
  <si>
    <t>Thu cho thuê mặt đất mặt nước</t>
  </si>
  <si>
    <t>Thu từ bán tài sản nhà nước</t>
  </si>
  <si>
    <t>Trong đó: - Do trung ương quản lý</t>
  </si>
  <si>
    <t xml:space="preserve">                - Do địa phương quản lý</t>
  </si>
  <si>
    <t>Thu từ tài sản được xác lập quyền sở hữu của NN</t>
  </si>
  <si>
    <t>Trong đó: - Do trung ương xử lý</t>
  </si>
  <si>
    <t xml:space="preserve">                - Do địa phương xử lý</t>
  </si>
  <si>
    <t>Thu tiền cho thuê và bán nhà ở thuộc sở hữu nhà nước</t>
  </si>
  <si>
    <t>Thu khác</t>
  </si>
  <si>
    <t>13.1</t>
  </si>
  <si>
    <t>Phạt vi pham hành chính</t>
  </si>
  <si>
    <t>Phạt VPHC lĩnh vực  an toàn giao thông</t>
  </si>
  <si>
    <t>Do cơ quan trung ương thu</t>
  </si>
  <si>
    <t>Do cơ quan địa phương thu</t>
  </si>
  <si>
    <t>Phạt vi phạm hành chính  lĩnh vực khác</t>
  </si>
  <si>
    <t>16.2</t>
  </si>
  <si>
    <t>Tiền cây đứng cấp lại vốn điều lệ DA rừng bền vững</t>
  </si>
  <si>
    <t>13.2</t>
  </si>
  <si>
    <t>Các khoản thu khác còn lại</t>
  </si>
  <si>
    <t>Thu cấp quyền khai thác khoáng sản</t>
  </si>
  <si>
    <t>Giấy phép do trung ương cấp</t>
  </si>
  <si>
    <t>Giấy phép do UBND cấp tỉnh cấp</t>
  </si>
  <si>
    <t>Thu từ quỹ đất công ích và hoa lợi CS</t>
  </si>
  <si>
    <t>Thu cổ tức và lợi nhuận sau thuế</t>
  </si>
  <si>
    <t>Thu xổ số kiến thíêt</t>
  </si>
  <si>
    <t>Thu từ dầu thô</t>
  </si>
  <si>
    <t>Thu từ hoạt động xuất, nhập khẩu</t>
  </si>
  <si>
    <t>Thu viện trợ</t>
  </si>
  <si>
    <t>Biểu mẫu số 17/NĐ31</t>
  </si>
  <si>
    <t>DỰ TOÁN CHI NGÂN SÁCH ĐỊA PHƯƠNG THEO CƠ CẤU CHI NĂM 2022</t>
  </si>
  <si>
    <t>So sánh
 DT 2022/DT2021</t>
  </si>
  <si>
    <t>Số tuyệt đối</t>
  </si>
  <si>
    <t>Tương đối</t>
  </si>
  <si>
    <t xml:space="preserve">TỔNG CHI NGÂN SÁCH ĐỊA PHƯƠNG </t>
  </si>
  <si>
    <t>Trong đó: chia theo lĩnh vực</t>
  </si>
  <si>
    <t>Trong đó: Chia theo nguồn vốn</t>
  </si>
  <si>
    <t>Chi đầu tư công trình cấp bách</t>
  </si>
  <si>
    <t>Hỗ trợ thực hiện XDNTM</t>
  </si>
  <si>
    <t>Hỗ trợ tăng cường cơ sở vật chất, trang thiết bị dạy học và thiết bị giáo dục khác…</t>
  </si>
  <si>
    <t xml:space="preserve">Hỗ trợ sửa xe ô tô </t>
  </si>
  <si>
    <t>Tăng cường an ninh quốc phòng quan hệ quốc tế huyện biên giới</t>
  </si>
  <si>
    <t>Kinh phí diễn tập phòng thủ PT21</t>
  </si>
  <si>
    <t>Quy hoạch chung thị trấn; Quy hoạch nông thôn mới</t>
  </si>
  <si>
    <t>Kinh phí Đại hội các tổ chức đoàn thể và đại hội khác</t>
  </si>
  <si>
    <t>Kinh phí  thực hiện đề án Cồng chiêng</t>
  </si>
  <si>
    <t xml:space="preserve"> Kinh phí bù, miễm giảm học phí; hỗ trợ chi phí học tập</t>
  </si>
  <si>
    <t>Kinh phí thực hiện NĐ số 105/2020/NĐ-CP quy định chính sách phát triển giáo dục mầm non</t>
  </si>
  <si>
    <t xml:space="preserve"> Hỗ trợ Học sinh dân tộc thiểu số rất ít người theo Quyết định 2123/QĐ-TTg; Nghị định 57/Cp</t>
  </si>
  <si>
    <t>Bổ sung Tiền lương, chi thường xuyên giáo viên mầm non</t>
  </si>
  <si>
    <t>Kinh phí cấp bù thửy lợi phí</t>
  </si>
  <si>
    <t>Hỗ trợ mai táng phí</t>
  </si>
  <si>
    <t>Kế hoạch năm 2021</t>
  </si>
  <si>
    <t>DT 2022/
UTH2021</t>
  </si>
  <si>
    <t>Trường Mầm non Hoa Hông</t>
  </si>
  <si>
    <t>Trường Mầm non Họa Mi</t>
  </si>
  <si>
    <t xml:space="preserve">Trường Mầm non Chim Non </t>
  </si>
  <si>
    <t>Trường TH - THCS Võ Nguyên Giáp</t>
  </si>
  <si>
    <t>Trường THCS Hai Bà Trưng</t>
  </si>
  <si>
    <t>Trường Nguyễn Tất Thành</t>
  </si>
  <si>
    <t>Trường THCS Nguyễn Huệ</t>
  </si>
  <si>
    <t>Trường TH - THCS Ya Tăng</t>
  </si>
  <si>
    <t>Trường TH - THCS Sa Sơn</t>
  </si>
  <si>
    <t>Trường THCS Sa Nghĩa</t>
  </si>
  <si>
    <t>Địa điểm xây dựng</t>
  </si>
  <si>
    <t>Năng lực thiết kế</t>
  </si>
  <si>
    <t>Quyết định đầu tư</t>
  </si>
  <si>
    <t>Tổng số (tất cả các nguồn vốn)</t>
  </si>
  <si>
    <t>TT</t>
  </si>
  <si>
    <t>Nguồn vốn/ Danh mục dự án</t>
  </si>
  <si>
    <t>Chủ đầu tư</t>
  </si>
  <si>
    <t>Thời gian
KC-HT</t>
  </si>
  <si>
    <t>Lũy kế vốn bố trí đến năm 2020</t>
  </si>
  <si>
    <t>Kế hoạch trung hạn 5 năm giai đoạn 2021-2025</t>
  </si>
  <si>
    <t>Năm 2021</t>
  </si>
  <si>
    <t>Số QĐ, ngày tháng năm phê duyệt</t>
  </si>
  <si>
    <t>Tổng mức
 đầu tư</t>
  </si>
  <si>
    <t>Trđó: 
NSĐP</t>
  </si>
  <si>
    <t>Tổng số
(tất cả
các 
nguồn 
vốn)</t>
  </si>
  <si>
    <t>Trong đó: NSĐP</t>
  </si>
  <si>
    <t>Kế hoạch</t>
  </si>
  <si>
    <t>Dự kiến giải ngân từ ngày 01/01/2021 đến ngày 31/01/2022</t>
  </si>
  <si>
    <t>Tổng số 
(tất cả 
các 
nguồn
 vốn)</t>
  </si>
  <si>
    <t>Trong đó: 
NSĐP</t>
  </si>
  <si>
    <t>Thu hồi các khoản vốn ứng trước</t>
  </si>
  <si>
    <t>Thanh toán nợ XDCB</t>
  </si>
  <si>
    <t>Trong đó:
 NSĐP</t>
  </si>
  <si>
    <t>16</t>
  </si>
  <si>
    <t>18</t>
  </si>
  <si>
    <t>19</t>
  </si>
  <si>
    <t>20</t>
  </si>
  <si>
    <t>21</t>
  </si>
  <si>
    <t>22</t>
  </si>
  <si>
    <t>TỔNG CỘNG</t>
  </si>
  <si>
    <t>NGUỒN CÂN ĐỐI THEO TIÊU CHI QUY ĐỊNH TẠI QĐ 26/2020/QĐ-TTG</t>
  </si>
  <si>
    <t>Nguồn cân đối NSĐP theo tiêu chí tại Nghị quyết số 63/2020/NQ-HĐND của HĐND tỉnh</t>
  </si>
  <si>
    <t>(1)</t>
  </si>
  <si>
    <t>Các dự án hoàn thành, bàn giao, đưa vào sử dụng đến ngày 31/12/2022</t>
  </si>
  <si>
    <t>Xây dựng trường mầm non Hoa Hồng (hạng mục nhà học 8 phòng và hạng mục phụ trợ)</t>
  </si>
  <si>
    <t>BQL</t>
  </si>
  <si>
    <t>TT Sa Thầy</t>
  </si>
  <si>
    <t>2021-</t>
  </si>
  <si>
    <t>2631/QĐ-UBND
29/12/2020</t>
  </si>
  <si>
    <t>Trường Tiểu học -THCS Lê Quý Đôn (Nhà ăn, bếp và hạng mục phụ trợ)</t>
  </si>
  <si>
    <t>2628/QĐ-UBND
29/12/2020</t>
  </si>
  <si>
    <t>(2)</t>
  </si>
  <si>
    <t>Các dự án chuyển tiếp hoàn thành sau năm 2022</t>
  </si>
  <si>
    <t>Mở rộng đường Trần Hưng Đạo (Đoạn từ đường Cù Chính Lan đến Hạt Kiểm Lâm)</t>
  </si>
  <si>
    <t xml:space="preserve">TT Sa Thầy </t>
  </si>
  <si>
    <t>02/QĐ-UBND
04/01/2021</t>
  </si>
  <si>
    <t>Mở rộng đường Trần Hưng Đạo (Đoạn từ đường Bế Văn Đàn đến đường Lê Duẩn)</t>
  </si>
  <si>
    <t xml:space="preserve"> 05/QĐ-UBND
05/01/2021</t>
  </si>
  <si>
    <t>(3)</t>
  </si>
  <si>
    <t>Các dự án khởi công mới năm 2022</t>
  </si>
  <si>
    <t>Nâng cấp, sửa chữa trụ sở làm việc Huyện ủy Sa Thầy và các hạng mục phụ trợ</t>
  </si>
  <si>
    <t>VPHU</t>
  </si>
  <si>
    <t>2022-</t>
  </si>
  <si>
    <t>Phân cấp hỗ trợ xây dựng NTM (Ưu tiên đầu tư các công trình GD-ĐT)</t>
  </si>
  <si>
    <t>Trường TH - THCS xã Sa Sơn. Hạng mục: Nhà vệ sinh, cổng hàng rào và hạng mục phụ trợ</t>
  </si>
  <si>
    <t>Trường THCS Phan Đình Phùng (Hạng mục nhà học 08 phòng và hạng mục phụ trợ)</t>
  </si>
  <si>
    <t>I.3</t>
  </si>
  <si>
    <t>Phân cấp hỗ trợ đầu tư các công trình cấp bách</t>
  </si>
  <si>
    <t>Mở rộng đường Trần Hưng Đạo (đoạn từ đường Bế Văn Đàn đến ngõ 350)</t>
  </si>
  <si>
    <t>II.</t>
  </si>
  <si>
    <t>NGUỒN THU TIỀN SỬ DỤNG ĐẤT TRONG CÂN ĐỐI</t>
  </si>
  <si>
    <t xml:space="preserve">Dự án Đầu tư cơ sở hạ tầng phục vụ giãn dân tại làng Xộp, xã Mô Rai, huyện Sa Thầy </t>
  </si>
  <si>
    <t>2020-</t>
  </si>
  <si>
    <t>700/QĐ-UBND 
26/7/2020 
của UB tỉnh
39/NQ-HĐND
22/10/2021 của HĐ tỉnh</t>
  </si>
  <si>
    <t>Đầu tư kết cấu hạ tầng khu dân cư dọc tuyến đường Điện Biên Phủ và đường Trần Quốc Toản, thị trấn Sa Thầy</t>
  </si>
  <si>
    <t>136/QĐ-UBND
27/01/2021</t>
  </si>
  <si>
    <t>Đường giao thông từ trung tâm huyện Sa Thầy đến nhà máy thủy điện Ialy</t>
  </si>
  <si>
    <t>H. Sa Thầy</t>
  </si>
  <si>
    <t>674/QĐ-UBND
29/7/2021 tỉnh</t>
  </si>
  <si>
    <t xml:space="preserve">Các dự án khởi công mới năm 2022 </t>
  </si>
  <si>
    <t>Đầu tư kết cấu hạ tầng Điểm dân cư khu vực Hạt Kiểm lâm (cũ) và lân cận):</t>
  </si>
  <si>
    <t>Nguồn thu sử dụng đất trong cân đối được để lại cho cấp xã (để duy tu, sửa chữa, nâng cấp các công trình hạ tầng; hỗ trợ làm đường hẻm, đường giao thông nông thôn…)</t>
  </si>
  <si>
    <t xml:space="preserve">Xã Ya Xiêr </t>
  </si>
  <si>
    <t>(4)</t>
  </si>
  <si>
    <t>PTNMT</t>
  </si>
  <si>
    <t>PHÂN CẤP ĐẦU TƯ NGUỒN THU XSKT (ƯU TIÊN ĐẦU TƯ CÁC CÔNG TRÌNH GD-ĐT THỰC HIỆN CT MTQG XD NTM)</t>
  </si>
  <si>
    <t>Các dự án hoàn thành sau năm 2022</t>
  </si>
  <si>
    <t>- Đối với dự án khởi công mới từ nguồn cân đối ngân sách địa phương 3.139 triệu đồng để thực hiện dự án Nâng cấp, sửa chữa trụ sở làm việc Huyện ủy Sa Thầy và các hạng mục phụ trợ Ủy quyền cho Ủy ban nhân dân huyện giao Kế hoạch vốn và phân bổ chi tiết khi đảm bảo các thủ tục đầu tư theo đúng quy định.</t>
  </si>
  <si>
    <t>- Đối với các dự án khởi công mới từ nguồn thu sử dụng đất 17.261 triệu đồng, trong đó: Thực hiện dự án Nâng cấp, sửa chữa trụ sở làm việc Huyện ủy Sa Thầy và các hạng mục phụ trợ: 3.061 triệu đồng; Dự án Đầu tư kết cấu hạ tầng Điểm dân cư khu vực Hạt Kiểm lâm (cũ) và lân cận): 8.500 triệu đồng và Hỗ trợ thưc hiện công tác giải phóng mặt bằng dự án xây dựng Trụ sở làm việc Công an huyện Sa Thầy: 5.700 triệu đồng Ủy quyền cho Ủy ban nhân dân huyện giao Kế hoạch vốn và phân bổ chi tiết khi đảm bảo các thủ tục đầu tư theo đúng quy định.</t>
  </si>
  <si>
    <t>- Đối với các dự án khởi công mới từ nguồn phân cấp cấp bách 2.500 triệu đồng để thực hiện dự án Mở rộng đường Trần Hưng Đạo (đoạn từ đường Bế Văn Đàn đến ngõ 350) Ủy quyền cho Ủy ban nhân dân huyện giao Kế hoạch vốn và phân bổ chi tiết khi đảm bảo các thủ tục đầu tư theo đúng quy định.</t>
  </si>
  <si>
    <t>- Đối với  nguồn vốn hỗ trợ xây dựng nông thôn mới 2.330 triệu đồng và 770 triệu đồng nguồn phân cấp xổ số kiến thiết để đầu tư xây dựng Trường TH - THCS xã Sa Sơn (Hạng mục: Giếng khoan, nhà vệ sinh, tường rào) và công trìnhTrường THCS Phan Đình Phùng (Hạng mục nhà học 08 phòng và hạng mục phụ trợ) Ủy quyền Ủy ban nhân dân huyện giao Kế hoạch vốn và phân bổ chi tiết khi đảm bảo thủ tục đầu tư theo đúng quy định.</t>
  </si>
  <si>
    <t>Biểu số 46</t>
  </si>
  <si>
    <t>Lũy kế vốn đã bố trí đến 31/12/2021</t>
  </si>
  <si>
    <t xml:space="preserve">Ngân sách địa phương </t>
  </si>
  <si>
    <t>DANH MỤC CÁC CHƯƠNG TRÌNH, DỰ ÁN SỬ DỤNG VỐN NGÂN SÁCH NHÀ NƯỚC NĂM 2022</t>
  </si>
  <si>
    <t>TỔNG SỐ </t>
  </si>
  <si>
    <r>
      <t>Ghi chú:</t>
    </r>
    <r>
      <rPr>
        <i/>
        <sz val="11"/>
        <color indexed="63"/>
        <rFont val="Times New Roman"/>
        <family val="1"/>
      </rPr>
      <t> (1) Ngân sách xã không có nhiệm vụ chi bổ sung cân đối cho ngân sách cấp dưới.</t>
    </r>
  </si>
  <si>
    <t>Trong đó: Hỗ trợ từ NSĐP (nếu có)</t>
  </si>
  <si>
    <r>
      <t>Dự kiến dư nguồn đến ngày 31/12/… </t>
    </r>
    <r>
      <rPr>
        <sz val="11"/>
        <rFont val="Times New Roman"/>
        <family val="1"/>
      </rPr>
      <t>(năm sau)</t>
    </r>
  </si>
  <si>
    <r>
      <t>Ghi chú:</t>
    </r>
    <r>
      <rPr>
        <i/>
        <sz val="11"/>
        <color theme="1"/>
        <rFont val="Times New Roman"/>
        <family val="1"/>
      </rPr>
      <t> (1) Theo quy định tại Điều 7, Điều 11 Luật NSNN, ngân sách huyện không có thu từ quỹ dự trữ tài chính,
 bội chi NSĐP.</t>
    </r>
  </si>
  <si>
    <r>
      <t>Ghi chú: </t>
    </r>
    <r>
      <rPr>
        <i/>
        <sz val="11"/>
        <color theme="1"/>
        <rFont val="Times New Roman"/>
        <family val="1"/>
      </rPr>
      <t>(1) Thu ngân sách nhà nước trên địa bàn tỉnh chi tiết đến từng huyện; thu ngân sách nhà nước trên địa bàn huyện chi tiết đến từng xã.</t>
    </r>
  </si>
  <si>
    <r>
      <t> </t>
    </r>
    <r>
      <rPr>
        <b/>
        <sz val="11"/>
        <color theme="1"/>
        <rFont val="Times New Roman"/>
        <family val="1"/>
      </rPr>
      <t>Biểu mẫu số 34</t>
    </r>
  </si>
  <si>
    <t>Đơn vị</t>
  </si>
  <si>
    <r>
      <t xml:space="preserve">Chi đầu tư phát triển </t>
    </r>
    <r>
      <rPr>
        <sz val="11"/>
        <color theme="1"/>
        <rFont val="Times New Roman"/>
        <family val="1"/>
      </rPr>
      <t>(Không kể chương trình MTQG)</t>
    </r>
  </si>
  <si>
    <r>
      <t xml:space="preserve">Chi thường xuyên </t>
    </r>
    <r>
      <rPr>
        <sz val="11"/>
        <color theme="1"/>
        <rFont val="Times New Roman"/>
        <family val="1"/>
      </rPr>
      <t>(Không kể chương trình MTQG)</t>
    </r>
  </si>
  <si>
    <t>Khối lượng thực hiện từ khởi công đến 31/12/2021</t>
  </si>
  <si>
    <t>Hỗ trợ thưc hiện công tác giải phóng mặt bằng dự án xây dựng Trụ sở làm việc Công an huyện Sa Thầy</t>
  </si>
  <si>
    <t>Số dư nguồn đến ngày 31/12/2021</t>
  </si>
  <si>
    <t>Dư nguồn đến ngày 31/12/2020</t>
  </si>
  <si>
    <t>D</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</si>
</sst>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_(* \(#,##0.00\);_(* &quot;-&quot;??_);_(@_)"/>
    <numFmt numFmtId="164" formatCode="_-* #,##0.00\ _₫_-;\-* #,##0.00\ _₫_-;_-* &quot;-&quot;??\ _₫_-;_-@_-"/>
    <numFmt numFmtId="165" formatCode="_(* #,##0.0_);_(* \(#,##0.0\);_(* &quot;-&quot;??_);_(@_)"/>
    <numFmt numFmtId="166" formatCode="_(* #,##0_);_(* \(#,##0\);_(* &quot;-&quot;??_);_(@_)"/>
    <numFmt numFmtId="167" formatCode="_(* #,##0.000_);_(* \(#,##0.000\);_(* &quot;-&quot;??_);_(@_)"/>
    <numFmt numFmtId="168" formatCode="_-* #,##0\ _₫_-;\-* #,##0\ _₫_-;_-* &quot;-&quot;??\ _₫_-;_-@_-"/>
    <numFmt numFmtId="169" formatCode="_(* #,##0.000000_);_(* \(#,##0.000000\);_(* &quot;-&quot;??????_);_(@_)"/>
    <numFmt numFmtId="170" formatCode="0.000000"/>
    <numFmt numFmtId="171" formatCode="0.0%"/>
    <numFmt numFmtId="172" formatCode="_-* #,##0.0000\ _₫_-;\-* #,##0.0000\ _₫_-;_-* &quot;-&quot;????\ _₫_-;_-@_-"/>
    <numFmt numFmtId="173" formatCode="_(* #,##0.00_);_(* \(#,##0.00\);_(* \-??_);_(@_)"/>
    <numFmt numFmtId="174" formatCode="###,###,###"/>
    <numFmt numFmtId="175" formatCode="###,###,###.0"/>
    <numFmt numFmtId="176" formatCode="_(* #,##0.0_);_(* \(#,##0.0\);_(* &quot;-&quot;?_);_(@_)"/>
    <numFmt numFmtId="177" formatCode="_-* #,##0.000\ _₫_-;\-* #,##0.000\ _₫_-;_-* &quot;-&quot;???\ _₫_-;_-@_-"/>
    <numFmt numFmtId="178" formatCode="_(* #,##0.0000_);_(* \(#,##0.0000\);_(* &quot;-&quot;??_);_(@_)"/>
    <numFmt numFmtId="179" formatCode="_(* #,##0.00000_);_(* \(#,##0.00000\);_(* &quot;-&quot;??_);_(@_)"/>
    <numFmt numFmtId="180" formatCode="_-* #,##0.0000\ _₫_-;\-* #,##0.0000\ _₫_-;_-* &quot;-&quot;???\ _₫_-;_-@_-"/>
    <numFmt numFmtId="181" formatCode="#,##0.0"/>
    <numFmt numFmtId="182" formatCode="_-* #,##0_-;\-* #,##0_-;_-* &quot;-&quot;_-;_-@_-"/>
    <numFmt numFmtId="183" formatCode="_-* #,##0.0_-;\-* #,##0.0_-;_-* &quot;-&quot;_-;_-@_-"/>
  </numFmts>
  <fonts count="40" x14ac:knownFonts="1">
    <font>
      <sz val="11"/>
      <color theme="1"/>
      <name val="Calibri"/>
      <family val="2"/>
      <charset val="163"/>
      <scheme val="minor"/>
    </font>
    <font>
      <sz val="11"/>
      <color theme="1"/>
      <name val="Calibri"/>
      <family val="2"/>
      <scheme val="minor"/>
    </font>
    <font>
      <sz val="9"/>
      <color indexed="81"/>
      <name val="Tahoma"/>
      <family val="2"/>
      <charset val="163"/>
    </font>
    <font>
      <b/>
      <sz val="9"/>
      <color indexed="81"/>
      <name val="Tahoma"/>
      <family val="2"/>
      <charset val="163"/>
    </font>
    <font>
      <sz val="11"/>
      <color indexed="8"/>
      <name val="Arial"/>
      <family val="2"/>
      <charset val="163"/>
    </font>
    <font>
      <sz val="10"/>
      <name val="Arial"/>
      <family val="2"/>
    </font>
    <font>
      <sz val="10"/>
      <name val="Times New Roman"/>
      <family val="1"/>
    </font>
    <font>
      <b/>
      <sz val="11"/>
      <color indexed="8"/>
      <name val="Times New Roman"/>
      <family val="1"/>
    </font>
    <font>
      <sz val="11"/>
      <name val="Times New Roman"/>
      <family val="1"/>
    </font>
    <font>
      <b/>
      <sz val="10"/>
      <name val="Times New Roman"/>
      <family val="1"/>
    </font>
    <font>
      <sz val="9"/>
      <color indexed="81"/>
      <name val="Tahoma"/>
      <family val="2"/>
    </font>
    <font>
      <b/>
      <sz val="9"/>
      <color indexed="81"/>
      <name val="Tahoma"/>
      <family val="2"/>
    </font>
    <font>
      <sz val="11"/>
      <color indexed="8"/>
      <name val="Times New Roman"/>
      <family val="1"/>
    </font>
    <font>
      <sz val="12"/>
      <name val=".VnArial Narrow"/>
      <family val="2"/>
    </font>
    <font>
      <b/>
      <sz val="11"/>
      <name val="Times New Roman"/>
      <family val="1"/>
    </font>
    <font>
      <sz val="12"/>
      <name val=".VnTime"/>
      <family val="2"/>
    </font>
    <font>
      <sz val="8"/>
      <name val="Arial"/>
      <family val="2"/>
      <charset val="163"/>
    </font>
    <font>
      <sz val="13"/>
      <color theme="1"/>
      <name val="Times New Roman"/>
      <family val="2"/>
    </font>
    <font>
      <sz val="9"/>
      <name val="Times New Roman"/>
      <family val="1"/>
    </font>
    <font>
      <i/>
      <sz val="11"/>
      <name val="Times New Roman"/>
      <family val="1"/>
    </font>
    <font>
      <sz val="11"/>
      <color theme="1"/>
      <name val="Times New Roman"/>
      <family val="1"/>
    </font>
    <font>
      <b/>
      <sz val="11"/>
      <color theme="1"/>
      <name val="Times New Roman"/>
      <family val="1"/>
    </font>
    <font>
      <sz val="11"/>
      <color indexed="63"/>
      <name val="Times New Roman"/>
      <family val="1"/>
    </font>
    <font>
      <b/>
      <sz val="9"/>
      <name val="Times New Roman"/>
      <family val="1"/>
    </font>
    <font>
      <i/>
      <sz val="9"/>
      <name val="Times New Roman"/>
      <family val="1"/>
    </font>
    <font>
      <i/>
      <sz val="11"/>
      <color theme="1"/>
      <name val="Times New Roman"/>
      <family val="1"/>
    </font>
    <font>
      <i/>
      <sz val="11"/>
      <color indexed="63"/>
      <name val="Times New Roman"/>
      <family val="1"/>
    </font>
    <font>
      <b/>
      <i/>
      <sz val="11"/>
      <color indexed="63"/>
      <name val="Times New Roman"/>
      <family val="1"/>
    </font>
    <font>
      <i/>
      <sz val="10"/>
      <name val="Times New Roman"/>
      <family val="1"/>
    </font>
    <font>
      <b/>
      <sz val="11"/>
      <color theme="1"/>
      <name val="Times New Roman"/>
      <family val="1"/>
      <charset val="163"/>
    </font>
    <font>
      <b/>
      <i/>
      <sz val="11"/>
      <color theme="1"/>
      <name val="Times New Roman"/>
      <family val="1"/>
    </font>
    <font>
      <b/>
      <sz val="10"/>
      <color theme="1"/>
      <name val="Times New Roman"/>
      <family val="1"/>
    </font>
    <font>
      <sz val="9"/>
      <color theme="1"/>
      <name val="Times New Roman"/>
      <family val="1"/>
    </font>
    <font>
      <i/>
      <sz val="9"/>
      <color theme="1"/>
      <name val="Times New Roman"/>
      <family val="1"/>
    </font>
    <font>
      <b/>
      <sz val="9"/>
      <color theme="1"/>
      <name val="Times New Roman"/>
      <family val="1"/>
    </font>
    <font>
      <sz val="10"/>
      <color theme="1"/>
      <name val="Times New Roman"/>
      <family val="1"/>
    </font>
    <font>
      <i/>
      <sz val="10"/>
      <color theme="1"/>
      <name val="Times New Roman"/>
      <family val="1"/>
    </font>
    <font>
      <b/>
      <i/>
      <sz val="10"/>
      <color theme="1"/>
      <name val="Times New Roman"/>
      <family val="1"/>
    </font>
    <font>
      <sz val="9"/>
      <color theme="1"/>
      <name val="Times New Roman"/>
      <family val="1"/>
      <charset val="163"/>
    </font>
    <font>
      <sz val="11"/>
      <color theme="1"/>
      <name val="Times New Roman"/>
      <family val="1"/>
      <charset val="163"/>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dashed">
        <color indexed="8"/>
      </top>
      <bottom style="dashed">
        <color indexed="8"/>
      </bottom>
      <diagonal/>
    </border>
    <border>
      <left style="thin">
        <color indexed="8"/>
      </left>
      <right style="thin">
        <color indexed="8"/>
      </right>
      <top style="dashed">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dashed">
        <color indexed="8"/>
      </bottom>
      <diagonal/>
    </border>
    <border>
      <left style="thin">
        <color indexed="8"/>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8"/>
      </top>
      <bottom/>
      <diagonal/>
    </border>
    <border>
      <left/>
      <right/>
      <top/>
      <bottom style="thin">
        <color indexed="8"/>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auto="1"/>
      </left>
      <right style="thin">
        <color auto="1"/>
      </right>
      <top style="hair">
        <color auto="1"/>
      </top>
      <bottom style="thin">
        <color auto="1"/>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style="thin">
        <color indexed="8"/>
      </left>
      <right style="thin">
        <color indexed="64"/>
      </right>
      <top style="hair">
        <color indexed="8"/>
      </top>
      <bottom style="hair">
        <color indexed="8"/>
      </bottom>
      <diagonal/>
    </border>
    <border>
      <left style="thin">
        <color indexed="64"/>
      </left>
      <right style="thin">
        <color indexed="64"/>
      </right>
      <top style="hair">
        <color indexed="64"/>
      </top>
      <bottom style="thin">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diagonal/>
    </border>
    <border>
      <left style="thin">
        <color indexed="8"/>
      </left>
      <right style="thin">
        <color indexed="8"/>
      </right>
      <top style="thin">
        <color indexed="8"/>
      </top>
      <bottom style="hair">
        <color indexed="8"/>
      </bottom>
      <diagonal/>
    </border>
    <border>
      <left style="thin">
        <color indexed="64"/>
      </left>
      <right style="thin">
        <color indexed="64"/>
      </right>
      <top style="dashed">
        <color indexed="64"/>
      </top>
      <bottom style="dashed">
        <color indexed="64"/>
      </bottom>
      <diagonal/>
    </border>
  </borders>
  <cellStyleXfs count="19">
    <xf numFmtId="0" fontId="0" fillId="0" borderId="0"/>
    <xf numFmtId="0" fontId="5" fillId="0" borderId="0"/>
    <xf numFmtId="0" fontId="5" fillId="0" borderId="0"/>
    <xf numFmtId="43" fontId="4" fillId="0" borderId="0" applyFont="0" applyFill="0" applyBorder="0" applyAlignment="0" applyProtection="0"/>
    <xf numFmtId="43" fontId="5" fillId="0" borderId="0" applyFont="0" applyFill="0" applyBorder="0" applyAlignment="0" applyProtection="0"/>
    <xf numFmtId="173" fontId="5" fillId="0" borderId="0" applyFill="0" applyBorder="0" applyAlignment="0" applyProtection="0"/>
    <xf numFmtId="0" fontId="15" fillId="0" borderId="0"/>
    <xf numFmtId="0" fontId="13" fillId="0" borderId="0"/>
    <xf numFmtId="0" fontId="5" fillId="0" borderId="0"/>
    <xf numFmtId="0" fontId="17" fillId="0" borderId="0"/>
    <xf numFmtId="9"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5" fillId="0" borderId="0"/>
    <xf numFmtId="0" fontId="17" fillId="0" borderId="0"/>
    <xf numFmtId="0" fontId="1" fillId="0" borderId="0"/>
  </cellStyleXfs>
  <cellXfs count="677">
    <xf numFmtId="0" fontId="0" fillId="0" borderId="0" xfId="0"/>
    <xf numFmtId="0" fontId="12" fillId="0" borderId="0" xfId="0" applyFont="1"/>
    <xf numFmtId="0" fontId="20" fillId="0" borderId="0" xfId="0" applyFont="1"/>
    <xf numFmtId="3" fontId="18" fillId="3" borderId="0" xfId="14" applyNumberFormat="1" applyFont="1" applyFill="1" applyAlignment="1">
      <alignment vertical="center"/>
    </xf>
    <xf numFmtId="0" fontId="18" fillId="3" borderId="0" xfId="14" applyFont="1" applyFill="1" applyAlignment="1">
      <alignment vertical="center"/>
    </xf>
    <xf numFmtId="0" fontId="18" fillId="3" borderId="0" xfId="14" applyFont="1" applyFill="1" applyAlignment="1">
      <alignment horizontal="center" vertical="center"/>
    </xf>
    <xf numFmtId="0" fontId="18" fillId="3" borderId="0" xfId="14" applyFont="1" applyFill="1" applyAlignment="1">
      <alignment horizontal="center" vertical="center" wrapText="1"/>
    </xf>
    <xf numFmtId="181" fontId="18" fillId="3" borderId="0" xfId="14" applyNumberFormat="1" applyFont="1" applyFill="1" applyAlignment="1">
      <alignment vertical="center"/>
    </xf>
    <xf numFmtId="181" fontId="18" fillId="3" borderId="0" xfId="14" applyNumberFormat="1" applyFont="1" applyFill="1" applyAlignment="1">
      <alignment horizontal="right" vertical="center"/>
    </xf>
    <xf numFmtId="182" fontId="18" fillId="3" borderId="0" xfId="14" applyNumberFormat="1" applyFont="1" applyFill="1" applyAlignment="1">
      <alignment vertical="center"/>
    </xf>
    <xf numFmtId="3" fontId="23" fillId="3" borderId="0" xfId="14" applyNumberFormat="1" applyFont="1" applyFill="1" applyAlignment="1">
      <alignment vertical="center"/>
    </xf>
    <xf numFmtId="0" fontId="23" fillId="3" borderId="0" xfId="14" applyFont="1" applyFill="1" applyAlignment="1">
      <alignment vertical="center"/>
    </xf>
    <xf numFmtId="182" fontId="23" fillId="3" borderId="0" xfId="14" applyNumberFormat="1" applyFont="1" applyFill="1" applyAlignment="1">
      <alignment vertical="center"/>
    </xf>
    <xf numFmtId="177" fontId="23" fillId="3" borderId="0" xfId="14" applyNumberFormat="1" applyFont="1" applyFill="1" applyAlignment="1">
      <alignment vertical="center"/>
    </xf>
    <xf numFmtId="0" fontId="18" fillId="3" borderId="0" xfId="14" applyFont="1" applyFill="1" applyAlignment="1">
      <alignment horizontal="justify" vertical="center" wrapText="1"/>
    </xf>
    <xf numFmtId="166" fontId="20" fillId="0" borderId="0" xfId="0" applyNumberFormat="1" applyFont="1"/>
    <xf numFmtId="170" fontId="20" fillId="0" borderId="0" xfId="0" applyNumberFormat="1" applyFont="1"/>
    <xf numFmtId="0" fontId="20" fillId="0" borderId="25" xfId="0" applyFont="1" applyBorder="1" applyAlignment="1">
      <alignment horizontal="center" vertical="center"/>
    </xf>
    <xf numFmtId="0" fontId="21" fillId="0" borderId="0" xfId="0" applyFont="1"/>
    <xf numFmtId="43" fontId="20" fillId="0" borderId="5" xfId="12" applyFont="1" applyBorder="1" applyAlignment="1">
      <alignment horizontal="center" vertical="center" wrapText="1"/>
    </xf>
    <xf numFmtId="0" fontId="21" fillId="0" borderId="40" xfId="0" applyFont="1" applyBorder="1" applyAlignment="1">
      <alignment horizontal="center" vertical="center"/>
    </xf>
    <xf numFmtId="0" fontId="21" fillId="0" borderId="40" xfId="0" applyFont="1" applyBorder="1" applyAlignment="1">
      <alignment vertical="center"/>
    </xf>
    <xf numFmtId="166" fontId="21" fillId="0" borderId="40" xfId="3" applyNumberFormat="1" applyFont="1" applyBorder="1" applyAlignment="1">
      <alignment vertical="center"/>
    </xf>
    <xf numFmtId="9" fontId="21" fillId="0" borderId="40" xfId="10" applyFont="1" applyBorder="1" applyAlignment="1">
      <alignment vertical="center"/>
    </xf>
    <xf numFmtId="0" fontId="21" fillId="0" borderId="5" xfId="0" applyFont="1" applyBorder="1" applyAlignment="1">
      <alignment horizontal="center" vertical="center"/>
    </xf>
    <xf numFmtId="0" fontId="21" fillId="0" borderId="5" xfId="0" applyFont="1" applyBorder="1" applyAlignment="1">
      <alignment vertical="center"/>
    </xf>
    <xf numFmtId="166" fontId="21" fillId="0" borderId="5" xfId="3" applyNumberFormat="1" applyFont="1" applyBorder="1" applyAlignment="1">
      <alignment vertical="center"/>
    </xf>
    <xf numFmtId="9" fontId="21" fillId="0" borderId="5" xfId="10" applyFont="1" applyBorder="1" applyAlignment="1">
      <alignment vertical="center"/>
    </xf>
    <xf numFmtId="0" fontId="20" fillId="0" borderId="5" xfId="0" applyFont="1" applyBorder="1" applyAlignment="1">
      <alignment vertical="center"/>
    </xf>
    <xf numFmtId="166" fontId="20" fillId="0" borderId="5" xfId="3" applyNumberFormat="1" applyFont="1" applyBorder="1" applyAlignment="1">
      <alignment vertical="center"/>
    </xf>
    <xf numFmtId="9" fontId="20" fillId="0" borderId="5" xfId="10" applyFont="1" applyBorder="1" applyAlignment="1">
      <alignment vertical="center"/>
    </xf>
    <xf numFmtId="166" fontId="20" fillId="3" borderId="5" xfId="3" applyNumberFormat="1" applyFont="1" applyFill="1" applyBorder="1" applyAlignment="1">
      <alignment vertical="center"/>
    </xf>
    <xf numFmtId="166" fontId="20" fillId="2" borderId="5" xfId="12" applyNumberFormat="1" applyFont="1" applyFill="1" applyBorder="1" applyAlignment="1">
      <alignment horizontal="center" vertical="center" wrapText="1"/>
    </xf>
    <xf numFmtId="43" fontId="21" fillId="0" borderId="5" xfId="3" applyFont="1" applyBorder="1" applyAlignment="1">
      <alignment vertical="center"/>
    </xf>
    <xf numFmtId="166" fontId="20" fillId="0" borderId="5" xfId="3" applyNumberFormat="1" applyFont="1" applyBorder="1"/>
    <xf numFmtId="0" fontId="21" fillId="0" borderId="42" xfId="0" applyFont="1" applyBorder="1" applyAlignment="1">
      <alignment horizontal="center" vertical="center"/>
    </xf>
    <xf numFmtId="0" fontId="21" fillId="0" borderId="42" xfId="0" applyFont="1" applyBorder="1" applyAlignment="1">
      <alignment vertical="center"/>
    </xf>
    <xf numFmtId="166" fontId="21" fillId="0" borderId="42" xfId="3" applyNumberFormat="1" applyFont="1" applyBorder="1" applyAlignment="1">
      <alignment vertical="center"/>
    </xf>
    <xf numFmtId="0" fontId="20" fillId="0" borderId="25" xfId="0" applyFont="1" applyBorder="1" applyAlignment="1">
      <alignment horizontal="center" vertical="center" wrapText="1"/>
    </xf>
    <xf numFmtId="0" fontId="20" fillId="0" borderId="0" xfId="0" applyFont="1" applyAlignment="1">
      <alignment horizontal="center" vertical="center"/>
    </xf>
    <xf numFmtId="164" fontId="20" fillId="0" borderId="0" xfId="0" applyNumberFormat="1" applyFont="1"/>
    <xf numFmtId="0" fontId="20" fillId="0" borderId="40" xfId="0" applyFont="1" applyBorder="1" applyAlignment="1">
      <alignment horizontal="center" vertical="center"/>
    </xf>
    <xf numFmtId="0" fontId="20" fillId="0" borderId="5" xfId="0" applyFont="1" applyBorder="1" applyAlignment="1">
      <alignment wrapText="1"/>
    </xf>
    <xf numFmtId="166" fontId="20" fillId="0" borderId="5" xfId="3" applyNumberFormat="1" applyFont="1" applyBorder="1" applyAlignment="1">
      <alignment horizontal="center" vertical="center"/>
    </xf>
    <xf numFmtId="166" fontId="20" fillId="0" borderId="5" xfId="3" applyNumberFormat="1" applyFont="1" applyBorder="1" applyAlignment="1">
      <alignment horizontal="center"/>
    </xf>
    <xf numFmtId="9" fontId="20" fillId="0" borderId="5" xfId="10" applyFont="1" applyBorder="1" applyAlignment="1">
      <alignment horizontal="center"/>
    </xf>
    <xf numFmtId="0" fontId="20" fillId="0" borderId="5" xfId="0" applyFont="1" applyBorder="1" applyAlignment="1">
      <alignment vertical="center" wrapText="1"/>
    </xf>
    <xf numFmtId="165" fontId="20" fillId="0" borderId="5" xfId="3" applyNumberFormat="1" applyFont="1" applyBorder="1" applyAlignment="1">
      <alignment horizontal="center"/>
    </xf>
    <xf numFmtId="43" fontId="20" fillId="0" borderId="5" xfId="3" applyNumberFormat="1" applyFont="1" applyBorder="1" applyAlignment="1">
      <alignment horizontal="center"/>
    </xf>
    <xf numFmtId="43" fontId="20" fillId="0" borderId="5" xfId="3" applyFont="1" applyBorder="1" applyAlignment="1">
      <alignment horizontal="center"/>
    </xf>
    <xf numFmtId="0" fontId="20" fillId="0" borderId="5" xfId="0" applyFont="1" applyBorder="1"/>
    <xf numFmtId="0" fontId="20" fillId="0" borderId="5" xfId="0" applyFont="1" applyBorder="1" applyAlignment="1">
      <alignment horizontal="center"/>
    </xf>
    <xf numFmtId="165" fontId="20" fillId="0" borderId="5" xfId="0" applyNumberFormat="1" applyFont="1" applyBorder="1" applyAlignment="1">
      <alignment horizontal="center"/>
    </xf>
    <xf numFmtId="0" fontId="20" fillId="0" borderId="42" xfId="0" applyFont="1" applyBorder="1" applyAlignment="1">
      <alignment horizontal="center" vertical="center"/>
    </xf>
    <xf numFmtId="0" fontId="20" fillId="0" borderId="42" xfId="0" applyFont="1" applyBorder="1"/>
    <xf numFmtId="0" fontId="20" fillId="0" borderId="42" xfId="0" applyFont="1" applyBorder="1" applyAlignment="1">
      <alignment horizontal="center"/>
    </xf>
    <xf numFmtId="165" fontId="20" fillId="0" borderId="42" xfId="0" applyNumberFormat="1" applyFont="1" applyBorder="1" applyAlignment="1">
      <alignment horizontal="center"/>
    </xf>
    <xf numFmtId="9" fontId="20" fillId="0" borderId="42" xfId="10" applyFont="1" applyBorder="1" applyAlignment="1">
      <alignment horizontal="center"/>
    </xf>
    <xf numFmtId="0" fontId="25" fillId="0" borderId="25" xfId="0" applyFont="1" applyBorder="1" applyAlignment="1">
      <alignment horizontal="center" vertical="center"/>
    </xf>
    <xf numFmtId="0" fontId="25" fillId="0" borderId="25" xfId="0" applyFont="1" applyBorder="1" applyAlignment="1">
      <alignment horizontal="center"/>
    </xf>
    <xf numFmtId="164" fontId="25" fillId="0" borderId="0" xfId="0" applyNumberFormat="1" applyFont="1"/>
    <xf numFmtId="0" fontId="25" fillId="0" borderId="0" xfId="0" applyFont="1"/>
    <xf numFmtId="0" fontId="21" fillId="0" borderId="0" xfId="0" applyFont="1" applyAlignment="1">
      <alignment horizontal="right" vertical="center" wrapText="1"/>
    </xf>
    <xf numFmtId="0" fontId="25" fillId="0" borderId="0" xfId="0" applyFont="1" applyAlignment="1">
      <alignment horizontal="right" vertical="center"/>
    </xf>
    <xf numFmtId="0" fontId="25" fillId="0" borderId="12" xfId="0" applyFont="1" applyBorder="1" applyAlignment="1">
      <alignment horizontal="right" vertical="center"/>
    </xf>
    <xf numFmtId="166" fontId="25" fillId="0" borderId="12" xfId="0" applyNumberFormat="1" applyFont="1" applyBorder="1" applyAlignment="1">
      <alignment horizontal="right" vertical="center"/>
    </xf>
    <xf numFmtId="0" fontId="20" fillId="2" borderId="0" xfId="0" applyFont="1" applyFill="1"/>
    <xf numFmtId="166" fontId="21" fillId="0" borderId="0" xfId="0" applyNumberFormat="1" applyFont="1"/>
    <xf numFmtId="0" fontId="21" fillId="2" borderId="0" xfId="0" applyFont="1" applyFill="1"/>
    <xf numFmtId="0" fontId="20" fillId="3" borderId="0" xfId="0" applyFont="1" applyFill="1"/>
    <xf numFmtId="166" fontId="20" fillId="2" borderId="0" xfId="0" applyNumberFormat="1" applyFont="1" applyFill="1"/>
    <xf numFmtId="0" fontId="25" fillId="2" borderId="25" xfId="0" applyFont="1" applyFill="1" applyBorder="1" applyAlignment="1">
      <alignment horizontal="center" vertical="center" wrapText="1"/>
    </xf>
    <xf numFmtId="0" fontId="21" fillId="2" borderId="40" xfId="0" applyFont="1" applyFill="1" applyBorder="1" applyAlignment="1">
      <alignment horizontal="center" vertical="center" wrapText="1"/>
    </xf>
    <xf numFmtId="0" fontId="21" fillId="2" borderId="40" xfId="0" applyFont="1" applyFill="1" applyBorder="1" applyAlignment="1">
      <alignment vertical="center" wrapText="1"/>
    </xf>
    <xf numFmtId="168" fontId="21" fillId="2" borderId="40" xfId="12" applyNumberFormat="1" applyFont="1" applyFill="1" applyBorder="1" applyAlignment="1">
      <alignment horizontal="center" vertical="center" wrapText="1"/>
    </xf>
    <xf numFmtId="166" fontId="21" fillId="2" borderId="40" xfId="12" applyNumberFormat="1" applyFont="1" applyFill="1" applyBorder="1" applyAlignment="1">
      <alignment horizontal="center" vertical="center" wrapText="1"/>
    </xf>
    <xf numFmtId="171" fontId="21" fillId="2" borderId="40" xfId="13" applyNumberFormat="1"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5" xfId="0" applyFont="1" applyFill="1" applyBorder="1" applyAlignment="1">
      <alignment vertical="center" wrapText="1"/>
    </xf>
    <xf numFmtId="168" fontId="21" fillId="2" borderId="5" xfId="12" applyNumberFormat="1" applyFont="1" applyFill="1" applyBorder="1" applyAlignment="1">
      <alignment horizontal="center" vertical="center" wrapText="1"/>
    </xf>
    <xf numFmtId="166" fontId="21" fillId="2" borderId="5" xfId="12" applyNumberFormat="1" applyFont="1" applyFill="1" applyBorder="1" applyAlignment="1">
      <alignment horizontal="center" vertical="center" wrapText="1"/>
    </xf>
    <xf numFmtId="171" fontId="21" fillId="2" borderId="5" xfId="13" applyNumberFormat="1" applyFont="1" applyFill="1" applyBorder="1" applyAlignment="1">
      <alignment horizontal="center" vertical="center" wrapText="1"/>
    </xf>
    <xf numFmtId="0" fontId="25" fillId="2" borderId="5" xfId="0" quotePrefix="1" applyFont="1" applyFill="1" applyBorder="1" applyAlignment="1">
      <alignment horizontal="center" vertical="center" wrapText="1"/>
    </xf>
    <xf numFmtId="0" fontId="25" fillId="2" borderId="5" xfId="0" applyFont="1" applyFill="1" applyBorder="1" applyAlignment="1">
      <alignment vertical="center" wrapText="1"/>
    </xf>
    <xf numFmtId="168" fontId="20" fillId="2" borderId="5" xfId="12" applyNumberFormat="1" applyFont="1" applyFill="1" applyBorder="1" applyAlignment="1">
      <alignment horizontal="center" vertical="center" wrapText="1"/>
    </xf>
    <xf numFmtId="171" fontId="20" fillId="2" borderId="5" xfId="13" applyNumberFormat="1" applyFont="1" applyFill="1" applyBorder="1" applyAlignment="1">
      <alignment horizontal="center" vertical="center" wrapText="1"/>
    </xf>
    <xf numFmtId="0" fontId="20" fillId="2" borderId="5" xfId="0" quotePrefix="1" applyFont="1" applyFill="1" applyBorder="1" applyAlignment="1">
      <alignment horizontal="center" vertical="center" wrapText="1"/>
    </xf>
    <xf numFmtId="0" fontId="20" fillId="2" borderId="5" xfId="0" applyFont="1" applyFill="1" applyBorder="1" applyAlignment="1">
      <alignment vertical="center" wrapText="1"/>
    </xf>
    <xf numFmtId="166" fontId="20" fillId="2" borderId="5" xfId="3" applyNumberFormat="1" applyFont="1" applyFill="1" applyBorder="1" applyAlignment="1">
      <alignment horizontal="center" vertical="center" wrapText="1"/>
    </xf>
    <xf numFmtId="0" fontId="21" fillId="2" borderId="5" xfId="0" quotePrefix="1" applyFont="1" applyFill="1" applyBorder="1" applyAlignment="1">
      <alignment horizontal="center" vertical="center" wrapText="1"/>
    </xf>
    <xf numFmtId="165" fontId="20" fillId="2" borderId="5" xfId="3" applyNumberFormat="1" applyFont="1" applyFill="1" applyBorder="1" applyAlignment="1">
      <alignment horizontal="center" vertical="center" wrapText="1"/>
    </xf>
    <xf numFmtId="165" fontId="20" fillId="2" borderId="5" xfId="12" applyNumberFormat="1" applyFont="1" applyFill="1" applyBorder="1" applyAlignment="1">
      <alignment horizontal="center" vertical="center" wrapText="1"/>
    </xf>
    <xf numFmtId="165" fontId="20" fillId="3" borderId="5" xfId="12" applyNumberFormat="1" applyFont="1" applyFill="1" applyBorder="1" applyAlignment="1">
      <alignment horizontal="center" vertical="center" wrapText="1"/>
    </xf>
    <xf numFmtId="166" fontId="20" fillId="3" borderId="5" xfId="12" applyNumberFormat="1" applyFont="1" applyFill="1" applyBorder="1" applyAlignment="1">
      <alignment horizontal="center" vertical="center" wrapText="1"/>
    </xf>
    <xf numFmtId="0" fontId="25" fillId="3" borderId="5" xfId="0" quotePrefix="1" applyFont="1" applyFill="1" applyBorder="1" applyAlignment="1">
      <alignment horizontal="center" vertical="center" wrapText="1"/>
    </xf>
    <xf numFmtId="0" fontId="25" fillId="3" borderId="5" xfId="0" applyFont="1" applyFill="1" applyBorder="1" applyAlignment="1">
      <alignment vertical="center" wrapText="1"/>
    </xf>
    <xf numFmtId="165" fontId="20" fillId="3" borderId="5" xfId="3" applyNumberFormat="1" applyFont="1" applyFill="1" applyBorder="1" applyAlignment="1">
      <alignment horizontal="center" vertical="center" wrapText="1"/>
    </xf>
    <xf numFmtId="168" fontId="20" fillId="3" borderId="5" xfId="12" applyNumberFormat="1" applyFont="1" applyFill="1" applyBorder="1" applyAlignment="1">
      <alignment horizontal="center" vertical="center" wrapText="1"/>
    </xf>
    <xf numFmtId="171" fontId="20" fillId="3" borderId="5" xfId="13" applyNumberFormat="1" applyFont="1" applyFill="1" applyBorder="1" applyAlignment="1">
      <alignment horizontal="center" vertical="center" wrapText="1"/>
    </xf>
    <xf numFmtId="166" fontId="20" fillId="0" borderId="5" xfId="12" applyNumberFormat="1" applyFont="1" applyFill="1" applyBorder="1" applyAlignment="1">
      <alignment horizontal="center" vertical="center"/>
    </xf>
    <xf numFmtId="0" fontId="21" fillId="3" borderId="5" xfId="0" applyFont="1" applyFill="1" applyBorder="1" applyAlignment="1">
      <alignment horizontal="center" vertical="center" wrapText="1"/>
    </xf>
    <xf numFmtId="0" fontId="21" fillId="3" borderId="5" xfId="0" applyFont="1" applyFill="1" applyBorder="1" applyAlignment="1">
      <alignment vertical="center" wrapText="1"/>
    </xf>
    <xf numFmtId="166" fontId="21" fillId="3" borderId="5" xfId="12" applyNumberFormat="1"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5" xfId="1" applyFont="1" applyFill="1" applyBorder="1" applyAlignment="1">
      <alignment wrapText="1"/>
    </xf>
    <xf numFmtId="0" fontId="20" fillId="2" borderId="5" xfId="0" applyFont="1" applyFill="1" applyBorder="1"/>
    <xf numFmtId="0" fontId="20" fillId="2" borderId="5" xfId="0" applyFont="1" applyFill="1" applyBorder="1" applyAlignment="1">
      <alignment vertical="center"/>
    </xf>
    <xf numFmtId="0" fontId="20" fillId="2" borderId="5" xfId="0" applyFont="1" applyFill="1" applyBorder="1" applyAlignment="1">
      <alignment horizontal="left" vertical="center" wrapText="1"/>
    </xf>
    <xf numFmtId="0" fontId="20" fillId="0" borderId="5" xfId="1" applyFont="1" applyFill="1" applyBorder="1" applyAlignment="1">
      <alignment wrapText="1"/>
    </xf>
    <xf numFmtId="0" fontId="20" fillId="2" borderId="5" xfId="1" applyNumberFormat="1" applyFont="1" applyFill="1" applyBorder="1" applyAlignment="1">
      <alignment horizontal="justify" vertical="center" wrapText="1"/>
    </xf>
    <xf numFmtId="43" fontId="20" fillId="2" borderId="5" xfId="12" applyFont="1" applyFill="1" applyBorder="1" applyAlignment="1">
      <alignment vertical="center" wrapText="1"/>
    </xf>
    <xf numFmtId="0" fontId="20" fillId="2" borderId="5" xfId="1" applyFont="1" applyFill="1" applyBorder="1" applyAlignment="1">
      <alignment vertical="center" wrapText="1"/>
    </xf>
    <xf numFmtId="0" fontId="20" fillId="2" borderId="5" xfId="1" applyFont="1" applyFill="1" applyBorder="1" applyAlignment="1">
      <alignment horizontal="left"/>
    </xf>
    <xf numFmtId="166" fontId="20" fillId="2" borderId="5" xfId="12" applyNumberFormat="1" applyFont="1" applyFill="1" applyBorder="1" applyAlignment="1">
      <alignment horizontal="center" vertical="center"/>
    </xf>
    <xf numFmtId="43" fontId="20" fillId="0" borderId="5" xfId="12" applyFont="1" applyFill="1" applyBorder="1" applyAlignment="1">
      <alignment horizontal="center" vertical="center"/>
    </xf>
    <xf numFmtId="0" fontId="20" fillId="2" borderId="5" xfId="2" applyFont="1" applyFill="1" applyBorder="1" applyAlignment="1">
      <alignment horizontal="left" wrapText="1"/>
    </xf>
    <xf numFmtId="168" fontId="20" fillId="2" borderId="5" xfId="12" applyNumberFormat="1" applyFont="1" applyFill="1" applyBorder="1" applyAlignment="1">
      <alignment horizontal="right" vertical="center"/>
    </xf>
    <xf numFmtId="166" fontId="20" fillId="2" borderId="5" xfId="12" applyNumberFormat="1" applyFont="1" applyFill="1" applyBorder="1" applyAlignment="1">
      <alignment horizontal="right" vertical="center"/>
    </xf>
    <xf numFmtId="166" fontId="20" fillId="0" borderId="5" xfId="12" applyNumberFormat="1" applyFont="1" applyFill="1" applyBorder="1" applyAlignment="1">
      <alignment horizontal="right" vertical="center"/>
    </xf>
    <xf numFmtId="0" fontId="20" fillId="2" borderId="5" xfId="0" applyFont="1" applyFill="1" applyBorder="1" applyAlignment="1">
      <alignment wrapText="1"/>
    </xf>
    <xf numFmtId="0" fontId="21" fillId="2" borderId="42" xfId="0" applyFont="1" applyFill="1" applyBorder="1" applyAlignment="1">
      <alignment horizontal="center" vertical="center" wrapText="1"/>
    </xf>
    <xf numFmtId="0" fontId="21" fillId="2" borderId="42" xfId="0" applyFont="1" applyFill="1" applyBorder="1" applyAlignment="1">
      <alignment vertical="center" wrapText="1"/>
    </xf>
    <xf numFmtId="166" fontId="20" fillId="2" borderId="42" xfId="12" applyNumberFormat="1" applyFont="1" applyFill="1" applyBorder="1" applyAlignment="1">
      <alignment horizontal="center" vertical="center" wrapText="1"/>
    </xf>
    <xf numFmtId="168" fontId="20" fillId="2" borderId="42" xfId="12" applyNumberFormat="1" applyFont="1" applyFill="1" applyBorder="1" applyAlignment="1">
      <alignment horizontal="center" vertical="center" wrapText="1"/>
    </xf>
    <xf numFmtId="171" fontId="20" fillId="2" borderId="42" xfId="13" applyNumberFormat="1" applyFont="1" applyFill="1" applyBorder="1" applyAlignment="1">
      <alignment horizontal="center" vertical="center" wrapText="1"/>
    </xf>
    <xf numFmtId="0" fontId="8" fillId="0" borderId="0" xfId="0" applyFont="1"/>
    <xf numFmtId="0" fontId="14" fillId="0" borderId="0" xfId="0" applyFont="1" applyAlignment="1">
      <alignment horizontal="right" vertical="center"/>
    </xf>
    <xf numFmtId="166" fontId="8" fillId="3" borderId="44" xfId="3" applyNumberFormat="1" applyFont="1" applyFill="1" applyBorder="1" applyAlignment="1">
      <alignment horizontal="center" vertical="center" wrapText="1"/>
    </xf>
    <xf numFmtId="0" fontId="27" fillId="0" borderId="0" xfId="0" applyFont="1" applyAlignment="1">
      <alignment vertical="center"/>
    </xf>
    <xf numFmtId="0" fontId="26" fillId="0" borderId="0" xfId="0" applyFont="1" applyAlignment="1">
      <alignment vertical="center" wrapText="1"/>
    </xf>
    <xf numFmtId="0" fontId="22" fillId="0" borderId="0" xfId="0" applyFont="1" applyAlignment="1">
      <alignment vertical="center"/>
    </xf>
    <xf numFmtId="166" fontId="20" fillId="0" borderId="44" xfId="3" applyNumberFormat="1" applyFont="1" applyBorder="1"/>
    <xf numFmtId="0" fontId="8" fillId="0" borderId="44" xfId="0" applyFont="1" applyBorder="1" applyAlignment="1">
      <alignment horizontal="center" vertical="center" wrapText="1"/>
    </xf>
    <xf numFmtId="0" fontId="8" fillId="0" borderId="44" xfId="0" applyFont="1" applyBorder="1" applyAlignment="1">
      <alignment vertical="center" wrapText="1"/>
    </xf>
    <xf numFmtId="0" fontId="8" fillId="3" borderId="44" xfId="0" quotePrefix="1" applyFont="1" applyFill="1" applyBorder="1" applyAlignment="1">
      <alignment horizontal="left" vertical="center" wrapText="1"/>
    </xf>
    <xf numFmtId="0" fontId="7" fillId="3" borderId="0" xfId="0" applyFont="1" applyFill="1" applyAlignment="1">
      <alignment horizontal="right" vertical="center"/>
    </xf>
    <xf numFmtId="0" fontId="26" fillId="3" borderId="0" xfId="0" applyFont="1" applyFill="1" applyAlignment="1">
      <alignment horizontal="right" vertical="center"/>
    </xf>
    <xf numFmtId="177" fontId="20" fillId="3" borderId="0" xfId="0" applyNumberFormat="1" applyFont="1" applyFill="1"/>
    <xf numFmtId="164" fontId="20" fillId="3" borderId="0" xfId="0" applyNumberFormat="1" applyFont="1" applyFill="1"/>
    <xf numFmtId="43" fontId="20" fillId="3" borderId="0" xfId="3" applyFont="1" applyFill="1"/>
    <xf numFmtId="166" fontId="20" fillId="3" borderId="0" xfId="0" applyNumberFormat="1" applyFont="1" applyFill="1"/>
    <xf numFmtId="0" fontId="7"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168" fontId="12" fillId="3" borderId="1" xfId="0" applyNumberFormat="1"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43" xfId="0" applyFont="1" applyFill="1" applyBorder="1" applyAlignment="1">
      <alignment vertical="center" wrapText="1"/>
    </xf>
    <xf numFmtId="166" fontId="14" fillId="3" borderId="43" xfId="3" applyNumberFormat="1"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4" xfId="0" applyFont="1" applyFill="1" applyBorder="1" applyAlignment="1">
      <alignment vertical="center" wrapText="1"/>
    </xf>
    <xf numFmtId="166" fontId="14" fillId="3" borderId="44" xfId="3" applyNumberFormat="1"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44" xfId="0" applyFont="1" applyFill="1" applyBorder="1" applyAlignment="1">
      <alignment vertical="center" wrapText="1"/>
    </xf>
    <xf numFmtId="0" fontId="14" fillId="3" borderId="45" xfId="0" applyFont="1" applyFill="1" applyBorder="1" applyAlignment="1">
      <alignment horizontal="center" vertical="center" wrapText="1"/>
    </xf>
    <xf numFmtId="0" fontId="14" fillId="3" borderId="45" xfId="0" applyFont="1" applyFill="1" applyBorder="1" applyAlignment="1">
      <alignment vertical="center" wrapText="1"/>
    </xf>
    <xf numFmtId="166" fontId="8" fillId="3" borderId="45" xfId="3" applyNumberFormat="1" applyFont="1" applyFill="1" applyBorder="1" applyAlignment="1">
      <alignment horizontal="center" vertical="center" wrapText="1"/>
    </xf>
    <xf numFmtId="0" fontId="22" fillId="3" borderId="0" xfId="0" applyFont="1" applyFill="1" applyAlignment="1">
      <alignment vertical="center"/>
    </xf>
    <xf numFmtId="43" fontId="8" fillId="3" borderId="18" xfId="3" applyFont="1" applyFill="1" applyBorder="1" applyAlignment="1">
      <alignment horizontal="center" vertical="center" wrapText="1"/>
    </xf>
    <xf numFmtId="0" fontId="6" fillId="0" borderId="0" xfId="0" applyFont="1" applyFill="1"/>
    <xf numFmtId="0" fontId="9" fillId="0" borderId="0" xfId="0" applyFont="1" applyFill="1" applyAlignment="1">
      <alignment horizontal="right" vertical="center"/>
    </xf>
    <xf numFmtId="0" fontId="28" fillId="0" borderId="0" xfId="0" applyFont="1" applyFill="1" applyAlignment="1">
      <alignment horizontal="right" vertical="center"/>
    </xf>
    <xf numFmtId="166" fontId="6" fillId="0" borderId="0" xfId="0" applyNumberFormat="1" applyFont="1" applyFill="1"/>
    <xf numFmtId="43" fontId="6" fillId="0" borderId="0" xfId="3" applyFont="1" applyFill="1"/>
    <xf numFmtId="164" fontId="6" fillId="0" borderId="0" xfId="0" applyNumberFormat="1" applyFont="1" applyFill="1"/>
    <xf numFmtId="0" fontId="9" fillId="0" borderId="0" xfId="0" applyFont="1" applyFill="1"/>
    <xf numFmtId="0" fontId="6" fillId="0" borderId="0" xfId="0" applyFont="1" applyFill="1" applyAlignment="1">
      <alignment vertical="center"/>
    </xf>
    <xf numFmtId="0" fontId="9" fillId="0" borderId="44" xfId="0" applyFont="1" applyFill="1" applyBorder="1" applyAlignment="1">
      <alignment vertical="center" wrapText="1"/>
    </xf>
    <xf numFmtId="166" fontId="9" fillId="0" borderId="44" xfId="3" applyNumberFormat="1" applyFont="1" applyFill="1" applyBorder="1" applyAlignment="1">
      <alignment horizontal="center" vertical="center" wrapText="1"/>
    </xf>
    <xf numFmtId="43" fontId="9" fillId="0" borderId="44" xfId="3" applyFont="1" applyFill="1" applyBorder="1" applyAlignment="1">
      <alignment horizontal="center" vertical="center" wrapText="1"/>
    </xf>
    <xf numFmtId="0" fontId="6" fillId="0" borderId="44" xfId="0" applyFont="1" applyFill="1" applyBorder="1" applyAlignment="1">
      <alignment vertical="center" wrapText="1"/>
    </xf>
    <xf numFmtId="166" fontId="6" fillId="0" borderId="44" xfId="3" applyNumberFormat="1" applyFont="1" applyFill="1" applyBorder="1" applyAlignment="1">
      <alignment horizontal="center" vertical="center" wrapText="1"/>
    </xf>
    <xf numFmtId="167" fontId="6" fillId="0" borderId="44" xfId="3" applyNumberFormat="1" applyFont="1" applyFill="1" applyBorder="1" applyAlignment="1">
      <alignment horizontal="center" vertical="center" wrapText="1"/>
    </xf>
    <xf numFmtId="43" fontId="6" fillId="0" borderId="44" xfId="3" applyNumberFormat="1" applyFont="1" applyFill="1" applyBorder="1" applyAlignment="1">
      <alignment horizontal="center" vertical="center" wrapText="1"/>
    </xf>
    <xf numFmtId="43" fontId="6" fillId="0" borderId="44" xfId="3" applyFont="1" applyFill="1" applyBorder="1" applyAlignment="1">
      <alignment horizontal="center" vertical="center" wrapText="1"/>
    </xf>
    <xf numFmtId="0" fontId="6" fillId="0" borderId="44" xfId="0" applyFont="1" applyFill="1" applyBorder="1" applyAlignment="1">
      <alignment horizontal="left" vertical="center" wrapText="1"/>
    </xf>
    <xf numFmtId="0" fontId="6" fillId="0" borderId="44" xfId="0" quotePrefix="1" applyFont="1" applyFill="1" applyBorder="1" applyAlignment="1">
      <alignment horizontal="left" vertical="center" wrapText="1"/>
    </xf>
    <xf numFmtId="0" fontId="6" fillId="0" borderId="45" xfId="0" applyFont="1" applyFill="1" applyBorder="1" applyAlignment="1">
      <alignment vertical="center" wrapText="1"/>
    </xf>
    <xf numFmtId="166" fontId="6" fillId="0" borderId="45" xfId="3" applyNumberFormat="1" applyFont="1" applyFill="1" applyBorder="1" applyAlignment="1">
      <alignment horizontal="center" vertical="center" wrapText="1"/>
    </xf>
    <xf numFmtId="165" fontId="8" fillId="0" borderId="44" xfId="3" applyNumberFormat="1" applyFont="1" applyBorder="1" applyAlignment="1">
      <alignment horizontal="center" vertical="center" wrapText="1"/>
    </xf>
    <xf numFmtId="165" fontId="8" fillId="0" borderId="53" xfId="3" applyNumberFormat="1" applyFont="1" applyBorder="1" applyAlignment="1">
      <alignment horizontal="center" vertical="center" wrapText="1"/>
    </xf>
    <xf numFmtId="165" fontId="8" fillId="3" borderId="54" xfId="3" applyNumberFormat="1" applyFont="1" applyFill="1" applyBorder="1" applyAlignment="1">
      <alignment horizontal="center" vertical="center" wrapText="1"/>
    </xf>
    <xf numFmtId="0" fontId="8" fillId="0" borderId="53" xfId="0" applyFont="1" applyBorder="1" applyAlignment="1">
      <alignment horizontal="center" vertical="center" wrapText="1"/>
    </xf>
    <xf numFmtId="0" fontId="8" fillId="0" borderId="53" xfId="0" applyFont="1" applyBorder="1" applyAlignment="1">
      <alignment vertical="center" wrapText="1"/>
    </xf>
    <xf numFmtId="165" fontId="8" fillId="0" borderId="53" xfId="0" applyNumberFormat="1" applyFont="1" applyBorder="1" applyAlignment="1">
      <alignment vertical="center" wrapText="1"/>
    </xf>
    <xf numFmtId="176" fontId="8" fillId="0" borderId="53" xfId="0" applyNumberFormat="1" applyFont="1" applyBorder="1" applyAlignment="1">
      <alignment vertical="center" wrapText="1"/>
    </xf>
    <xf numFmtId="165" fontId="8" fillId="0" borderId="44" xfId="0" applyNumberFormat="1" applyFont="1" applyBorder="1" applyAlignment="1">
      <alignment vertical="center" wrapText="1"/>
    </xf>
    <xf numFmtId="176" fontId="8" fillId="0" borderId="44" xfId="0" applyNumberFormat="1" applyFont="1" applyBorder="1" applyAlignment="1">
      <alignment vertical="center" wrapText="1"/>
    </xf>
    <xf numFmtId="0" fontId="8" fillId="0" borderId="54" xfId="0" applyFont="1" applyBorder="1" applyAlignment="1">
      <alignment horizontal="center" vertical="center" wrapText="1"/>
    </xf>
    <xf numFmtId="0" fontId="8" fillId="0" borderId="54" xfId="0" applyFont="1" applyBorder="1" applyAlignment="1">
      <alignment vertical="center" wrapText="1"/>
    </xf>
    <xf numFmtId="165" fontId="8" fillId="0" borderId="54" xfId="0" applyNumberFormat="1" applyFont="1" applyBorder="1" applyAlignment="1">
      <alignment vertical="center" wrapText="1"/>
    </xf>
    <xf numFmtId="176" fontId="8" fillId="0" borderId="54" xfId="0" applyNumberFormat="1"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vertical="top" wrapText="1"/>
    </xf>
    <xf numFmtId="0" fontId="8" fillId="0" borderId="0" xfId="0" applyFont="1" applyBorder="1" applyAlignment="1">
      <alignment vertical="center" wrapText="1"/>
    </xf>
    <xf numFmtId="3" fontId="24" fillId="3" borderId="0" xfId="14" applyNumberFormat="1" applyFont="1" applyFill="1" applyAlignment="1">
      <alignment vertical="center"/>
    </xf>
    <xf numFmtId="0" fontId="24" fillId="3" borderId="0" xfId="14" applyFont="1" applyFill="1" applyAlignment="1">
      <alignment vertical="center"/>
    </xf>
    <xf numFmtId="3" fontId="6" fillId="3" borderId="0" xfId="14" applyNumberFormat="1" applyFont="1" applyFill="1" applyAlignment="1">
      <alignment vertical="center"/>
    </xf>
    <xf numFmtId="0" fontId="6" fillId="3" borderId="0" xfId="14" applyFont="1" applyFill="1" applyAlignment="1">
      <alignment vertical="center"/>
    </xf>
    <xf numFmtId="0" fontId="21" fillId="0" borderId="25" xfId="0" applyFont="1" applyBorder="1" applyAlignment="1">
      <alignment horizontal="center" vertical="center" wrapText="1"/>
    </xf>
    <xf numFmtId="0" fontId="20" fillId="0" borderId="5" xfId="0" applyFont="1" applyBorder="1" applyAlignment="1">
      <alignment horizontal="center" vertical="center"/>
    </xf>
    <xf numFmtId="0" fontId="20" fillId="0" borderId="0" xfId="0" applyFont="1" applyAlignment="1">
      <alignment horizontal="center"/>
    </xf>
    <xf numFmtId="0" fontId="6" fillId="0" borderId="1" xfId="0" applyFont="1" applyFill="1" applyBorder="1" applyAlignment="1">
      <alignment horizontal="center" vertical="center" wrapText="1"/>
    </xf>
    <xf numFmtId="0" fontId="21" fillId="0" borderId="40" xfId="0" applyFont="1" applyBorder="1" applyAlignment="1">
      <alignment horizontal="left" vertical="center" wrapText="1"/>
    </xf>
    <xf numFmtId="166" fontId="21" fillId="0" borderId="40" xfId="3" applyNumberFormat="1" applyFont="1" applyBorder="1" applyAlignment="1">
      <alignment horizontal="center" vertical="center"/>
    </xf>
    <xf numFmtId="166" fontId="21" fillId="0" borderId="40" xfId="3" applyNumberFormat="1" applyFont="1" applyBorder="1" applyAlignment="1">
      <alignment horizontal="center"/>
    </xf>
    <xf numFmtId="9" fontId="21" fillId="0" borderId="40" xfId="10" applyFont="1" applyBorder="1" applyAlignment="1">
      <alignment horizontal="center"/>
    </xf>
    <xf numFmtId="165" fontId="20" fillId="0" borderId="5" xfId="3" applyNumberFormat="1" applyFont="1" applyBorder="1" applyAlignment="1">
      <alignment horizontal="center" vertical="center"/>
    </xf>
    <xf numFmtId="9" fontId="20" fillId="0" borderId="5" xfId="10" applyFont="1" applyBorder="1" applyAlignment="1">
      <alignment horizontal="center" vertical="center"/>
    </xf>
    <xf numFmtId="0" fontId="25" fillId="0" borderId="5" xfId="0" applyFont="1" applyBorder="1" applyAlignment="1">
      <alignment vertical="center" wrapText="1"/>
    </xf>
    <xf numFmtId="0" fontId="21" fillId="0" borderId="0" xfId="0" applyFont="1" applyAlignment="1">
      <alignment horizontal="right" vertical="center"/>
    </xf>
    <xf numFmtId="0" fontId="21"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1" fillId="2" borderId="43" xfId="0" applyFont="1" applyFill="1" applyBorder="1" applyAlignment="1">
      <alignment horizontal="center" vertical="center" wrapText="1"/>
    </xf>
    <xf numFmtId="0" fontId="21" fillId="2" borderId="43" xfId="0" applyFont="1" applyFill="1" applyBorder="1" applyAlignment="1">
      <alignment vertical="center" wrapText="1"/>
    </xf>
    <xf numFmtId="166" fontId="21" fillId="2" borderId="43" xfId="3" applyNumberFormat="1" applyFont="1" applyFill="1" applyBorder="1" applyAlignment="1">
      <alignment vertical="center" wrapText="1"/>
    </xf>
    <xf numFmtId="166" fontId="20" fillId="2" borderId="43" xfId="3" applyNumberFormat="1" applyFont="1" applyFill="1" applyBorder="1" applyAlignment="1">
      <alignment vertical="center" wrapText="1"/>
    </xf>
    <xf numFmtId="0" fontId="21" fillId="2" borderId="44" xfId="0" applyFont="1" applyFill="1" applyBorder="1" applyAlignment="1">
      <alignment horizontal="center" vertical="center" wrapText="1"/>
    </xf>
    <xf numFmtId="0" fontId="21" fillId="2" borderId="44" xfId="0" applyFont="1" applyFill="1" applyBorder="1" applyAlignment="1">
      <alignment vertical="center" wrapText="1"/>
    </xf>
    <xf numFmtId="166" fontId="21" fillId="2" borderId="44" xfId="3" applyNumberFormat="1" applyFont="1" applyFill="1" applyBorder="1" applyAlignment="1">
      <alignment vertical="center" wrapText="1"/>
    </xf>
    <xf numFmtId="171" fontId="21" fillId="2" borderId="44" xfId="10" applyNumberFormat="1" applyFont="1" applyFill="1" applyBorder="1" applyAlignment="1">
      <alignment vertical="center" wrapText="1"/>
    </xf>
    <xf numFmtId="0" fontId="20" fillId="2" borderId="44" xfId="0" applyFont="1" applyFill="1" applyBorder="1" applyAlignment="1">
      <alignment horizontal="center" vertical="center" wrapText="1"/>
    </xf>
    <xf numFmtId="0" fontId="20" fillId="2" borderId="44" xfId="0" applyFont="1" applyFill="1" applyBorder="1" applyAlignment="1">
      <alignment vertical="center" wrapText="1"/>
    </xf>
    <xf numFmtId="166" fontId="20" fillId="2" borderId="44" xfId="3" applyNumberFormat="1" applyFont="1" applyFill="1" applyBorder="1" applyAlignment="1">
      <alignment vertical="center" wrapText="1"/>
    </xf>
    <xf numFmtId="171" fontId="20" fillId="2" borderId="44" xfId="10" applyNumberFormat="1" applyFont="1" applyFill="1" applyBorder="1" applyAlignment="1">
      <alignment vertical="center" wrapText="1"/>
    </xf>
    <xf numFmtId="168" fontId="20" fillId="0" borderId="44" xfId="3" applyNumberFormat="1" applyFont="1" applyBorder="1" applyAlignment="1">
      <alignment horizontal="center" vertical="center" wrapText="1"/>
    </xf>
    <xf numFmtId="166" fontId="20" fillId="0" borderId="44" xfId="3" applyNumberFormat="1" applyFont="1" applyBorder="1" applyAlignment="1">
      <alignment horizontal="center" vertical="center" wrapText="1"/>
    </xf>
    <xf numFmtId="166" fontId="20" fillId="3" borderId="44" xfId="3" applyNumberFormat="1" applyFont="1" applyFill="1" applyBorder="1"/>
    <xf numFmtId="168" fontId="20" fillId="2" borderId="44" xfId="3" applyNumberFormat="1" applyFont="1" applyFill="1" applyBorder="1" applyAlignment="1">
      <alignment horizontal="center" vertical="center" wrapText="1"/>
    </xf>
    <xf numFmtId="166" fontId="20" fillId="3" borderId="44" xfId="3" applyNumberFormat="1" applyFont="1" applyFill="1" applyBorder="1" applyAlignment="1">
      <alignment horizontal="center" vertical="center" wrapText="1"/>
    </xf>
    <xf numFmtId="43" fontId="21" fillId="0" borderId="44" xfId="3" applyFont="1" applyBorder="1"/>
    <xf numFmtId="0" fontId="20" fillId="2" borderId="44" xfId="0" quotePrefix="1"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45" xfId="0" applyFont="1" applyFill="1" applyBorder="1" applyAlignment="1">
      <alignment vertical="center" wrapText="1"/>
    </xf>
    <xf numFmtId="166" fontId="20" fillId="2" borderId="45" xfId="3" applyNumberFormat="1" applyFont="1" applyFill="1" applyBorder="1" applyAlignment="1">
      <alignment vertical="center" wrapText="1"/>
    </xf>
    <xf numFmtId="171" fontId="20" fillId="2" borderId="45" xfId="10" applyNumberFormat="1" applyFont="1" applyFill="1" applyBorder="1" applyAlignment="1">
      <alignment vertical="center" wrapText="1"/>
    </xf>
    <xf numFmtId="0" fontId="25" fillId="0" borderId="0" xfId="0" applyFont="1" applyAlignment="1">
      <alignment vertical="center"/>
    </xf>
    <xf numFmtId="0" fontId="20" fillId="0" borderId="0" xfId="0" applyFont="1" applyAlignment="1">
      <alignment vertical="center"/>
    </xf>
    <xf numFmtId="0" fontId="20" fillId="2" borderId="2" xfId="0" applyFont="1" applyFill="1" applyBorder="1" applyAlignment="1">
      <alignment horizontal="center" vertical="center" wrapText="1"/>
    </xf>
    <xf numFmtId="0" fontId="20" fillId="2" borderId="2" xfId="0" applyFont="1" applyFill="1" applyBorder="1" applyAlignment="1">
      <alignment vertical="center" wrapText="1"/>
    </xf>
    <xf numFmtId="0" fontId="20" fillId="2" borderId="3"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3" borderId="22"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0" fillId="2" borderId="8" xfId="0" applyFont="1" applyFill="1" applyBorder="1" applyAlignment="1">
      <alignment horizontal="center" vertical="center" wrapText="1"/>
    </xf>
    <xf numFmtId="166" fontId="21" fillId="2" borderId="43" xfId="3" applyNumberFormat="1" applyFont="1" applyFill="1" applyBorder="1" applyAlignment="1">
      <alignment horizontal="center" vertical="center" wrapText="1"/>
    </xf>
    <xf numFmtId="171" fontId="21" fillId="2" borderId="43" xfId="10" applyNumberFormat="1" applyFont="1" applyFill="1" applyBorder="1" applyAlignment="1">
      <alignment horizontal="center" vertical="center" wrapText="1"/>
    </xf>
    <xf numFmtId="166" fontId="20" fillId="2" borderId="44" xfId="3" applyNumberFormat="1" applyFont="1" applyFill="1" applyBorder="1" applyAlignment="1">
      <alignment horizontal="center" vertical="center" wrapText="1"/>
    </xf>
    <xf numFmtId="171" fontId="20" fillId="2" borderId="44" xfId="10" applyNumberFormat="1" applyFont="1" applyFill="1" applyBorder="1" applyAlignment="1">
      <alignment horizontal="center" vertical="center" wrapText="1"/>
    </xf>
    <xf numFmtId="0" fontId="20" fillId="2" borderId="45" xfId="0" applyFont="1" applyFill="1" applyBorder="1" applyAlignment="1">
      <alignment vertical="top" wrapText="1"/>
    </xf>
    <xf numFmtId="166" fontId="20" fillId="2" borderId="45" xfId="3" applyNumberFormat="1" applyFont="1" applyFill="1" applyBorder="1" applyAlignment="1">
      <alignment horizontal="center" vertical="center" wrapText="1"/>
    </xf>
    <xf numFmtId="171" fontId="20" fillId="2" borderId="45" xfId="10" applyNumberFormat="1" applyFont="1" applyFill="1" applyBorder="1" applyAlignment="1">
      <alignment horizontal="center" vertical="center" wrapText="1"/>
    </xf>
    <xf numFmtId="0" fontId="30" fillId="0" borderId="0" xfId="0" applyFont="1" applyAlignment="1">
      <alignment vertical="center"/>
    </xf>
    <xf numFmtId="165" fontId="20" fillId="0" borderId="0" xfId="3" applyNumberFormat="1" applyFont="1"/>
    <xf numFmtId="0" fontId="20" fillId="0" borderId="0" xfId="0" applyFont="1" applyAlignment="1">
      <alignment horizontal="right" vertical="center"/>
    </xf>
    <xf numFmtId="0" fontId="20" fillId="2" borderId="21" xfId="0" applyFont="1" applyFill="1" applyBorder="1" applyAlignment="1">
      <alignment horizontal="center" vertical="center" wrapText="1"/>
    </xf>
    <xf numFmtId="0" fontId="20" fillId="0" borderId="44" xfId="1" applyFont="1" applyFill="1" applyBorder="1"/>
    <xf numFmtId="168" fontId="20" fillId="0" borderId="44" xfId="3" applyNumberFormat="1" applyFont="1" applyFill="1" applyBorder="1"/>
    <xf numFmtId="168" fontId="20" fillId="0" borderId="49" xfId="3" applyNumberFormat="1" applyFont="1" applyFill="1" applyBorder="1"/>
    <xf numFmtId="0" fontId="21" fillId="2" borderId="9" xfId="0" applyFont="1" applyFill="1" applyBorder="1" applyAlignment="1">
      <alignment horizontal="center" vertical="center" wrapText="1"/>
    </xf>
    <xf numFmtId="0" fontId="21" fillId="2" borderId="9" xfId="0" applyFont="1" applyFill="1" applyBorder="1" applyAlignment="1">
      <alignment vertical="center" wrapText="1"/>
    </xf>
    <xf numFmtId="166" fontId="21" fillId="2" borderId="9" xfId="3" applyNumberFormat="1" applyFont="1" applyFill="1" applyBorder="1" applyAlignment="1">
      <alignment horizontal="center" vertical="center" wrapText="1"/>
    </xf>
    <xf numFmtId="166" fontId="20" fillId="2" borderId="2" xfId="3" applyNumberFormat="1" applyFont="1" applyFill="1" applyBorder="1" applyAlignment="1">
      <alignment horizontal="center" vertical="center" wrapText="1"/>
    </xf>
    <xf numFmtId="0" fontId="20" fillId="2" borderId="2" xfId="0" applyFont="1" applyFill="1" applyBorder="1" applyAlignment="1">
      <alignment vertical="top" wrapText="1"/>
    </xf>
    <xf numFmtId="0" fontId="20" fillId="2" borderId="3" xfId="0" applyFont="1" applyFill="1" applyBorder="1" applyAlignment="1">
      <alignment vertical="top" wrapText="1"/>
    </xf>
    <xf numFmtId="166" fontId="20" fillId="2" borderId="3" xfId="3" applyNumberFormat="1" applyFont="1" applyFill="1" applyBorder="1" applyAlignment="1">
      <alignment horizontal="center" vertical="center" wrapText="1"/>
    </xf>
    <xf numFmtId="0" fontId="21" fillId="2" borderId="51" xfId="0" applyFont="1" applyFill="1" applyBorder="1" applyAlignment="1">
      <alignment horizontal="center" vertical="center" wrapText="1"/>
    </xf>
    <xf numFmtId="0" fontId="21" fillId="2" borderId="51" xfId="0" applyFont="1" applyFill="1" applyBorder="1" applyAlignment="1">
      <alignment vertical="center" wrapText="1"/>
    </xf>
    <xf numFmtId="166" fontId="21" fillId="2" borderId="51" xfId="3" applyNumberFormat="1" applyFont="1" applyFill="1" applyBorder="1" applyAlignment="1">
      <alignment horizontal="center" vertical="center" wrapText="1"/>
    </xf>
    <xf numFmtId="0" fontId="21" fillId="0" borderId="0" xfId="0" applyFont="1" applyBorder="1"/>
    <xf numFmtId="0" fontId="20" fillId="0" borderId="0" xfId="0" applyFont="1" applyBorder="1"/>
    <xf numFmtId="43" fontId="20" fillId="0" borderId="0" xfId="0" applyNumberFormat="1" applyFont="1"/>
    <xf numFmtId="167" fontId="20" fillId="0" borderId="0" xfId="0" applyNumberFormat="1" applyFont="1"/>
    <xf numFmtId="0" fontId="20" fillId="0" borderId="4" xfId="0" applyFont="1" applyBorder="1" applyAlignment="1">
      <alignment horizontal="center" vertical="center" wrapText="1"/>
    </xf>
    <xf numFmtId="0" fontId="21" fillId="0" borderId="40" xfId="0" applyFont="1" applyBorder="1" applyAlignment="1">
      <alignment horizontal="center" vertical="center" wrapText="1"/>
    </xf>
    <xf numFmtId="166" fontId="21" fillId="0" borderId="40" xfId="3" applyNumberFormat="1" applyFont="1" applyBorder="1" applyAlignment="1">
      <alignment horizontal="center" vertical="center" wrapText="1"/>
    </xf>
    <xf numFmtId="0" fontId="21" fillId="0" borderId="5" xfId="0" applyFont="1" applyBorder="1" applyAlignment="1">
      <alignment vertical="center" wrapText="1"/>
    </xf>
    <xf numFmtId="166" fontId="21" fillId="0" borderId="5" xfId="3" applyNumberFormat="1" applyFont="1" applyBorder="1" applyAlignment="1">
      <alignment horizontal="center" vertical="center" wrapText="1"/>
    </xf>
    <xf numFmtId="0" fontId="21" fillId="0" borderId="5" xfId="0" applyFont="1" applyBorder="1" applyAlignment="1">
      <alignment horizontal="center" vertical="center" wrapText="1"/>
    </xf>
    <xf numFmtId="166" fontId="20" fillId="0" borderId="5" xfId="3" applyNumberFormat="1" applyFont="1" applyBorder="1" applyAlignment="1">
      <alignment horizontal="center" vertical="center" wrapText="1"/>
    </xf>
    <xf numFmtId="166" fontId="21" fillId="2" borderId="5" xfId="3" applyNumberFormat="1" applyFont="1" applyFill="1" applyBorder="1" applyAlignment="1">
      <alignment horizontal="center" vertical="center" wrapText="1"/>
    </xf>
    <xf numFmtId="0" fontId="20" fillId="0" borderId="5" xfId="0" quotePrefix="1" applyFont="1" applyBorder="1" applyAlignment="1">
      <alignment horizontal="center" vertical="center" wrapText="1"/>
    </xf>
    <xf numFmtId="0" fontId="20" fillId="0" borderId="5" xfId="1" applyNumberFormat="1" applyFont="1" applyFill="1" applyBorder="1" applyAlignment="1">
      <alignment horizontal="justify" vertical="center" wrapText="1"/>
    </xf>
    <xf numFmtId="43" fontId="20" fillId="0" borderId="0" xfId="3" applyFont="1"/>
    <xf numFmtId="0" fontId="20" fillId="0" borderId="0" xfId="1" applyFont="1" applyFill="1"/>
    <xf numFmtId="0" fontId="20" fillId="0" borderId="0" xfId="0" applyFont="1" applyFill="1" applyBorder="1" applyAlignment="1">
      <alignment horizontal="right" vertical="center" wrapText="1"/>
    </xf>
    <xf numFmtId="0" fontId="20" fillId="0" borderId="0" xfId="0" applyFont="1" applyFill="1"/>
    <xf numFmtId="0" fontId="25" fillId="0" borderId="0" xfId="0" applyFont="1" applyFill="1" applyAlignment="1">
      <alignment horizontal="right" vertical="center"/>
    </xf>
    <xf numFmtId="0" fontId="25" fillId="0" borderId="0" xfId="0" applyFont="1" applyFill="1" applyBorder="1" applyAlignment="1">
      <alignment horizontal="right" vertical="center"/>
    </xf>
    <xf numFmtId="166" fontId="25" fillId="0" borderId="0" xfId="0" applyNumberFormat="1" applyFont="1" applyFill="1" applyBorder="1" applyAlignment="1">
      <alignment horizontal="right" vertical="center"/>
    </xf>
    <xf numFmtId="43" fontId="20" fillId="0" borderId="0" xfId="0" applyNumberFormat="1" applyFont="1" applyFill="1"/>
    <xf numFmtId="167" fontId="20" fillId="0" borderId="0" xfId="0" applyNumberFormat="1" applyFont="1" applyFill="1"/>
    <xf numFmtId="0" fontId="20" fillId="0" borderId="4"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6" xfId="0" applyFont="1" applyFill="1" applyBorder="1"/>
    <xf numFmtId="0" fontId="20" fillId="0" borderId="6" xfId="0" applyFont="1" applyFill="1" applyBorder="1" applyAlignment="1">
      <alignment horizontal="center"/>
    </xf>
    <xf numFmtId="0" fontId="21" fillId="0" borderId="40" xfId="0" applyFont="1" applyFill="1" applyBorder="1" applyAlignment="1">
      <alignment horizontal="center" vertical="center" wrapText="1"/>
    </xf>
    <xf numFmtId="0" fontId="21" fillId="0" borderId="40" xfId="0" applyFont="1" applyFill="1" applyBorder="1" applyAlignment="1">
      <alignment vertical="center" wrapText="1"/>
    </xf>
    <xf numFmtId="166" fontId="21" fillId="0" borderId="40" xfId="3" applyNumberFormat="1" applyFont="1" applyFill="1" applyBorder="1" applyAlignment="1">
      <alignment horizontal="center" vertical="center" wrapText="1"/>
    </xf>
    <xf numFmtId="0" fontId="21" fillId="0" borderId="0" xfId="0" applyFont="1" applyFill="1"/>
    <xf numFmtId="0" fontId="21" fillId="0" borderId="5" xfId="0" applyFont="1" applyFill="1" applyBorder="1" applyAlignment="1">
      <alignment horizontal="center" vertical="center" wrapText="1"/>
    </xf>
    <xf numFmtId="0" fontId="21" fillId="0" borderId="5" xfId="0" applyFont="1" applyFill="1" applyBorder="1" applyAlignment="1">
      <alignment vertical="center" wrapText="1"/>
    </xf>
    <xf numFmtId="166" fontId="21" fillId="0" borderId="5" xfId="3" applyNumberFormat="1" applyFont="1" applyFill="1" applyBorder="1" applyAlignment="1">
      <alignment horizontal="center" vertical="center" wrapText="1"/>
    </xf>
    <xf numFmtId="166" fontId="21" fillId="0" borderId="0" xfId="0" applyNumberFormat="1" applyFont="1" applyFill="1"/>
    <xf numFmtId="0" fontId="20" fillId="0" borderId="5" xfId="0" applyFont="1" applyFill="1" applyBorder="1" applyAlignment="1">
      <alignment horizontal="center" vertical="center" wrapText="1"/>
    </xf>
    <xf numFmtId="0" fontId="25" fillId="0" borderId="5" xfId="0" applyFont="1" applyFill="1" applyBorder="1" applyAlignment="1">
      <alignment vertical="center" wrapText="1"/>
    </xf>
    <xf numFmtId="166" fontId="20" fillId="0" borderId="5" xfId="3" applyNumberFormat="1" applyFont="1" applyFill="1" applyBorder="1"/>
    <xf numFmtId="0" fontId="20" fillId="0" borderId="5" xfId="0" applyFont="1" applyFill="1" applyBorder="1" applyAlignment="1">
      <alignment vertical="center" wrapText="1"/>
    </xf>
    <xf numFmtId="166" fontId="20" fillId="0" borderId="5" xfId="3" applyNumberFormat="1" applyFont="1" applyFill="1" applyBorder="1" applyAlignment="1">
      <alignment horizontal="center" vertical="center" wrapText="1"/>
    </xf>
    <xf numFmtId="166" fontId="20" fillId="0" borderId="0" xfId="0" applyNumberFormat="1" applyFont="1" applyFill="1"/>
    <xf numFmtId="0" fontId="25" fillId="0" borderId="5" xfId="0" applyFont="1" applyFill="1" applyBorder="1" applyAlignment="1">
      <alignment horizontal="center" vertical="center" wrapText="1"/>
    </xf>
    <xf numFmtId="168" fontId="20" fillId="0" borderId="5" xfId="3" applyNumberFormat="1" applyFont="1" applyFill="1" applyBorder="1" applyAlignment="1">
      <alignment horizontal="center" vertical="center" wrapText="1"/>
    </xf>
    <xf numFmtId="168" fontId="20" fillId="0" borderId="0" xfId="0" applyNumberFormat="1" applyFont="1" applyFill="1"/>
    <xf numFmtId="166" fontId="21" fillId="0" borderId="5" xfId="3" applyNumberFormat="1" applyFont="1" applyFill="1" applyBorder="1"/>
    <xf numFmtId="167" fontId="21" fillId="0" borderId="0" xfId="3" applyNumberFormat="1" applyFont="1" applyFill="1"/>
    <xf numFmtId="178" fontId="21" fillId="0" borderId="0" xfId="0" applyNumberFormat="1" applyFont="1" applyFill="1"/>
    <xf numFmtId="180" fontId="21" fillId="0" borderId="0" xfId="0" applyNumberFormat="1" applyFont="1" applyFill="1"/>
    <xf numFmtId="178" fontId="20" fillId="0" borderId="0" xfId="3" applyNumberFormat="1" applyFont="1" applyFill="1"/>
    <xf numFmtId="179" fontId="21" fillId="0" borderId="0" xfId="3" applyNumberFormat="1" applyFont="1" applyFill="1"/>
    <xf numFmtId="165" fontId="21" fillId="0" borderId="5" xfId="3" applyNumberFormat="1" applyFont="1" applyFill="1" applyBorder="1"/>
    <xf numFmtId="167" fontId="21" fillId="0" borderId="0" xfId="0" applyNumberFormat="1" applyFont="1" applyFill="1"/>
    <xf numFmtId="0" fontId="20" fillId="0" borderId="5" xfId="0" quotePrefix="1" applyFont="1" applyFill="1" applyBorder="1" applyAlignment="1">
      <alignment horizontal="center" vertical="center" wrapText="1"/>
    </xf>
    <xf numFmtId="0" fontId="20" fillId="0" borderId="5" xfId="0" applyFont="1" applyFill="1" applyBorder="1" applyAlignment="1">
      <alignment horizontal="left" vertical="center" wrapText="1"/>
    </xf>
    <xf numFmtId="0" fontId="20" fillId="0" borderId="5" xfId="0" applyFont="1" applyFill="1" applyBorder="1"/>
    <xf numFmtId="0" fontId="21" fillId="0" borderId="50" xfId="0" applyFont="1" applyFill="1" applyBorder="1" applyAlignment="1">
      <alignment horizontal="center" vertical="center" wrapText="1"/>
    </xf>
    <xf numFmtId="0" fontId="21" fillId="0" borderId="50" xfId="0" applyFont="1" applyFill="1" applyBorder="1" applyAlignment="1">
      <alignment vertical="center" wrapText="1"/>
    </xf>
    <xf numFmtId="166" fontId="21" fillId="0" borderId="50" xfId="3" applyNumberFormat="1" applyFont="1" applyFill="1" applyBorder="1" applyAlignment="1">
      <alignment horizontal="center" vertical="center" wrapText="1"/>
    </xf>
    <xf numFmtId="0" fontId="20" fillId="0" borderId="7" xfId="0" applyFont="1" applyFill="1" applyBorder="1" applyAlignment="1">
      <alignment vertical="center" wrapText="1"/>
    </xf>
    <xf numFmtId="0" fontId="20" fillId="0" borderId="7" xfId="0" applyFont="1" applyFill="1" applyBorder="1"/>
    <xf numFmtId="165" fontId="20" fillId="0" borderId="7" xfId="3" applyNumberFormat="1" applyFont="1" applyFill="1" applyBorder="1" applyAlignment="1">
      <alignment horizontal="center" vertical="center" wrapText="1"/>
    </xf>
    <xf numFmtId="165" fontId="20" fillId="0" borderId="7" xfId="3" applyNumberFormat="1" applyFont="1" applyFill="1" applyBorder="1"/>
    <xf numFmtId="43" fontId="20" fillId="0" borderId="7" xfId="3" applyFont="1" applyFill="1" applyBorder="1"/>
    <xf numFmtId="0" fontId="25" fillId="0" borderId="0" xfId="0" applyFont="1" applyFill="1" applyAlignment="1">
      <alignment vertical="center"/>
    </xf>
    <xf numFmtId="165" fontId="20" fillId="0" borderId="0" xfId="3" applyNumberFormat="1" applyFont="1" applyFill="1"/>
    <xf numFmtId="0" fontId="20" fillId="0" borderId="0" xfId="0" applyFont="1" applyFill="1" applyAlignment="1">
      <alignment vertical="center"/>
    </xf>
    <xf numFmtId="0" fontId="21" fillId="0" borderId="1"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43" xfId="0" applyFont="1" applyBorder="1" applyAlignment="1">
      <alignment vertical="center" wrapText="1"/>
    </xf>
    <xf numFmtId="166" fontId="21" fillId="0" borderId="43" xfId="3" applyNumberFormat="1" applyFont="1" applyBorder="1" applyAlignment="1">
      <alignment horizontal="center" vertical="center" wrapText="1"/>
    </xf>
    <xf numFmtId="0" fontId="21" fillId="0" borderId="44" xfId="0" applyFont="1" applyBorder="1" applyAlignment="1">
      <alignment horizontal="center" vertical="center" wrapText="1"/>
    </xf>
    <xf numFmtId="0" fontId="21" fillId="0" borderId="44" xfId="0" applyFont="1" applyBorder="1" applyAlignment="1">
      <alignment vertical="center" wrapText="1"/>
    </xf>
    <xf numFmtId="166" fontId="21" fillId="0" borderId="44" xfId="3" applyNumberFormat="1" applyFont="1" applyBorder="1" applyAlignment="1">
      <alignment horizontal="center" vertical="center" wrapText="1"/>
    </xf>
    <xf numFmtId="0" fontId="20" fillId="0" borderId="44" xfId="0" applyFont="1" applyBorder="1" applyAlignment="1">
      <alignment horizontal="center" vertical="center" wrapText="1"/>
    </xf>
    <xf numFmtId="0" fontId="20" fillId="0" borderId="44" xfId="0" applyFont="1" applyBorder="1" applyAlignment="1">
      <alignment vertical="center" wrapText="1"/>
    </xf>
    <xf numFmtId="168" fontId="21" fillId="0" borderId="44" xfId="3" applyNumberFormat="1" applyFont="1" applyBorder="1" applyAlignment="1">
      <alignment horizontal="center" vertical="center" wrapText="1"/>
    </xf>
    <xf numFmtId="0" fontId="21" fillId="0" borderId="45" xfId="0" applyFont="1" applyBorder="1" applyAlignment="1">
      <alignment horizontal="center" vertical="center" wrapText="1"/>
    </xf>
    <xf numFmtId="0" fontId="21" fillId="0" borderId="45" xfId="0" applyFont="1" applyBorder="1" applyAlignment="1">
      <alignment vertical="center" wrapText="1"/>
    </xf>
    <xf numFmtId="166" fontId="21" fillId="0" borderId="45" xfId="3" applyNumberFormat="1" applyFont="1" applyBorder="1" applyAlignment="1">
      <alignment horizontal="center" vertical="center" wrapText="1"/>
    </xf>
    <xf numFmtId="177" fontId="20" fillId="0" borderId="0" xfId="0" applyNumberFormat="1" applyFont="1"/>
    <xf numFmtId="0" fontId="20" fillId="0" borderId="12" xfId="0" applyFont="1" applyBorder="1"/>
    <xf numFmtId="169" fontId="20" fillId="0" borderId="0" xfId="0" applyNumberFormat="1" applyFont="1"/>
    <xf numFmtId="172" fontId="20" fillId="0" borderId="0" xfId="0" applyNumberFormat="1" applyFont="1"/>
    <xf numFmtId="0" fontId="21" fillId="0" borderId="33" xfId="0" applyFont="1" applyBorder="1" applyAlignment="1">
      <alignment horizontal="center" vertical="center" wrapText="1"/>
    </xf>
    <xf numFmtId="43" fontId="21" fillId="0" borderId="33" xfId="0" applyNumberFormat="1" applyFont="1" applyBorder="1" applyAlignment="1">
      <alignment horizontal="center" vertical="center" wrapText="1"/>
    </xf>
    <xf numFmtId="0" fontId="21" fillId="0" borderId="4" xfId="0" applyFont="1" applyBorder="1" applyAlignment="1">
      <alignment vertical="center" wrapText="1"/>
    </xf>
    <xf numFmtId="166" fontId="21" fillId="0" borderId="4" xfId="3" applyNumberFormat="1" applyFont="1" applyBorder="1" applyAlignment="1">
      <alignment horizontal="center" vertical="center" wrapText="1"/>
    </xf>
    <xf numFmtId="172" fontId="21" fillId="0" borderId="0" xfId="0" applyNumberFormat="1" applyFont="1"/>
    <xf numFmtId="0" fontId="21" fillId="0" borderId="41" xfId="0" applyFont="1" applyBorder="1" applyAlignment="1">
      <alignment horizontal="center" vertical="center" wrapText="1"/>
    </xf>
    <xf numFmtId="0" fontId="21" fillId="0" borderId="41" xfId="0" applyFont="1" applyBorder="1" applyAlignment="1">
      <alignment vertical="center" wrapText="1"/>
    </xf>
    <xf numFmtId="166" fontId="21" fillId="0" borderId="41" xfId="3" applyNumberFormat="1" applyFont="1" applyBorder="1" applyAlignment="1">
      <alignment horizontal="center" vertical="center" wrapText="1"/>
    </xf>
    <xf numFmtId="43" fontId="21" fillId="2" borderId="5" xfId="3" applyNumberFormat="1" applyFont="1" applyFill="1" applyBorder="1" applyAlignment="1">
      <alignment horizontal="center" vertical="center" wrapText="1"/>
    </xf>
    <xf numFmtId="167" fontId="20" fillId="2" borderId="5" xfId="3" applyNumberFormat="1" applyFont="1" applyFill="1" applyBorder="1" applyAlignment="1">
      <alignment horizontal="center" vertical="center" wrapText="1"/>
    </xf>
    <xf numFmtId="167" fontId="21" fillId="2" borderId="5" xfId="3" applyNumberFormat="1" applyFont="1" applyFill="1" applyBorder="1" applyAlignment="1">
      <alignment horizontal="center" vertical="center" wrapText="1"/>
    </xf>
    <xf numFmtId="0" fontId="20" fillId="3" borderId="5" xfId="0" quotePrefix="1" applyFont="1" applyFill="1" applyBorder="1" applyAlignment="1">
      <alignment horizontal="left" vertical="center" wrapText="1"/>
    </xf>
    <xf numFmtId="178" fontId="20" fillId="2" borderId="5" xfId="3" applyNumberFormat="1"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1" fillId="2" borderId="50" xfId="0" applyFont="1" applyFill="1" applyBorder="1" applyAlignment="1">
      <alignment vertical="center" wrapText="1"/>
    </xf>
    <xf numFmtId="166" fontId="21" fillId="2" borderId="50" xfId="3" applyNumberFormat="1" applyFont="1" applyFill="1" applyBorder="1" applyAlignment="1">
      <alignment horizontal="center" vertical="center" wrapText="1"/>
    </xf>
    <xf numFmtId="178" fontId="21" fillId="2" borderId="50" xfId="3" applyNumberFormat="1" applyFont="1" applyFill="1" applyBorder="1" applyAlignment="1">
      <alignment horizontal="center" vertical="center" wrapText="1"/>
    </xf>
    <xf numFmtId="43" fontId="20" fillId="2" borderId="0" xfId="3" applyFont="1" applyFill="1"/>
    <xf numFmtId="167" fontId="20" fillId="2" borderId="0" xfId="3" applyNumberFormat="1" applyFont="1" applyFill="1"/>
    <xf numFmtId="178" fontId="20" fillId="2" borderId="0" xfId="0" applyNumberFormat="1" applyFont="1" applyFill="1"/>
    <xf numFmtId="166" fontId="20" fillId="3" borderId="5" xfId="3" applyNumberFormat="1" applyFont="1" applyFill="1" applyBorder="1" applyAlignment="1">
      <alignment horizontal="center" vertical="center" wrapText="1"/>
    </xf>
    <xf numFmtId="3" fontId="20" fillId="0" borderId="0" xfId="0" applyNumberFormat="1" applyFont="1"/>
    <xf numFmtId="0" fontId="20" fillId="0" borderId="5" xfId="0" quotePrefix="1" applyFont="1" applyBorder="1" applyAlignment="1">
      <alignment horizontal="right" vertical="center" wrapText="1"/>
    </xf>
    <xf numFmtId="0" fontId="20" fillId="0" borderId="50" xfId="0" quotePrefix="1" applyFont="1" applyBorder="1" applyAlignment="1">
      <alignment horizontal="center" vertical="center" wrapText="1"/>
    </xf>
    <xf numFmtId="0" fontId="20" fillId="2" borderId="50" xfId="0" applyFont="1" applyFill="1" applyBorder="1" applyAlignment="1">
      <alignment horizontal="left" vertical="center" wrapText="1"/>
    </xf>
    <xf numFmtId="166" fontId="20" fillId="0" borderId="50" xfId="3" applyNumberFormat="1" applyFont="1" applyBorder="1" applyAlignment="1">
      <alignment horizontal="center" vertical="center" wrapText="1"/>
    </xf>
    <xf numFmtId="165" fontId="21" fillId="2" borderId="43" xfId="3" applyNumberFormat="1" applyFont="1" applyFill="1" applyBorder="1" applyAlignment="1">
      <alignment horizontal="center" vertical="center" wrapText="1"/>
    </xf>
    <xf numFmtId="164" fontId="21" fillId="0" borderId="0" xfId="0" applyNumberFormat="1" applyFont="1"/>
    <xf numFmtId="165" fontId="20" fillId="2" borderId="44" xfId="3" applyNumberFormat="1" applyFont="1" applyFill="1" applyBorder="1" applyAlignment="1">
      <alignment horizontal="center" vertical="center" wrapText="1"/>
    </xf>
    <xf numFmtId="165" fontId="20" fillId="2" borderId="45" xfId="3" applyNumberFormat="1" applyFont="1" applyFill="1" applyBorder="1" applyAlignment="1">
      <alignment horizontal="center" vertical="center" wrapText="1"/>
    </xf>
    <xf numFmtId="0" fontId="6" fillId="0" borderId="55" xfId="0" applyFont="1" applyFill="1" applyBorder="1" applyAlignment="1">
      <alignment horizontal="center" vertical="center" wrapText="1"/>
    </xf>
    <xf numFmtId="0" fontId="9" fillId="0" borderId="55" xfId="0" applyFont="1" applyFill="1" applyBorder="1" applyAlignment="1">
      <alignment vertical="center" wrapText="1"/>
    </xf>
    <xf numFmtId="166" fontId="9" fillId="0" borderId="55" xfId="3" applyNumberFormat="1" applyFont="1" applyFill="1" applyBorder="1" applyAlignment="1">
      <alignment horizontal="center" vertical="center" wrapText="1"/>
    </xf>
    <xf numFmtId="0" fontId="9" fillId="0" borderId="44"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20" fillId="0" borderId="0" xfId="1" applyFont="1" applyFill="1" applyAlignment="1">
      <alignment horizontal="center"/>
    </xf>
    <xf numFmtId="0" fontId="21" fillId="2" borderId="26" xfId="0" applyFont="1" applyFill="1" applyBorder="1" applyAlignment="1">
      <alignment horizontal="center" vertical="center" wrapText="1"/>
    </xf>
    <xf numFmtId="0" fontId="21" fillId="0" borderId="26" xfId="0" applyFont="1" applyBorder="1" applyAlignment="1">
      <alignment horizontal="center" vertical="center" wrapText="1"/>
    </xf>
    <xf numFmtId="166" fontId="21" fillId="2" borderId="44" xfId="3" applyNumberFormat="1" applyFont="1" applyFill="1" applyBorder="1" applyAlignment="1">
      <alignment horizontal="center" vertical="center" wrapText="1"/>
    </xf>
    <xf numFmtId="0" fontId="25" fillId="0" borderId="0" xfId="0" applyFont="1" applyBorder="1" applyAlignment="1">
      <alignment vertical="center" wrapText="1"/>
    </xf>
    <xf numFmtId="0" fontId="31" fillId="3" borderId="0" xfId="14" applyFont="1" applyFill="1" applyAlignment="1">
      <alignment vertical="center"/>
    </xf>
    <xf numFmtId="0" fontId="32" fillId="3" borderId="0" xfId="14" applyFont="1" applyFill="1" applyAlignment="1">
      <alignment horizontal="center" vertical="center"/>
    </xf>
    <xf numFmtId="0" fontId="32" fillId="3" borderId="0" xfId="14" applyFont="1" applyFill="1" applyAlignment="1">
      <alignment vertical="center"/>
    </xf>
    <xf numFmtId="0" fontId="32" fillId="3" borderId="0" xfId="14" applyFont="1" applyFill="1" applyAlignment="1">
      <alignment horizontal="center" vertical="center" wrapText="1"/>
    </xf>
    <xf numFmtId="0" fontId="32" fillId="3" borderId="0" xfId="14" applyFont="1" applyFill="1" applyAlignment="1">
      <alignment vertical="center" wrapText="1"/>
    </xf>
    <xf numFmtId="181" fontId="32" fillId="3" borderId="0" xfId="14" applyNumberFormat="1" applyFont="1" applyFill="1" applyAlignment="1">
      <alignment vertical="center"/>
    </xf>
    <xf numFmtId="181" fontId="32" fillId="3" borderId="0" xfId="14" applyNumberFormat="1" applyFont="1" applyFill="1" applyAlignment="1">
      <alignment horizontal="right" vertical="center"/>
    </xf>
    <xf numFmtId="3" fontId="32" fillId="3" borderId="25" xfId="16" applyNumberFormat="1" applyFont="1" applyFill="1" applyBorder="1" applyAlignment="1">
      <alignment horizontal="center" vertical="center" wrapText="1"/>
    </xf>
    <xf numFmtId="3" fontId="33" fillId="3" borderId="25" xfId="16" applyNumberFormat="1" applyFont="1" applyFill="1" applyBorder="1" applyAlignment="1">
      <alignment horizontal="center" vertical="center" wrapText="1"/>
    </xf>
    <xf numFmtId="181" fontId="32" fillId="3" borderId="25" xfId="16" applyNumberFormat="1" applyFont="1" applyFill="1" applyBorder="1" applyAlignment="1">
      <alignment horizontal="center" vertical="center" wrapText="1"/>
    </xf>
    <xf numFmtId="181" fontId="32" fillId="3" borderId="7" xfId="16" applyNumberFormat="1" applyFont="1" applyFill="1" applyBorder="1" applyAlignment="1">
      <alignment vertical="center" wrapText="1"/>
    </xf>
    <xf numFmtId="0" fontId="33" fillId="3" borderId="40" xfId="15" applyFont="1" applyFill="1" applyBorder="1" applyAlignment="1">
      <alignment horizontal="center" vertical="center" wrapText="1"/>
    </xf>
    <xf numFmtId="0" fontId="33" fillId="3" borderId="40" xfId="14" applyFont="1" applyFill="1" applyBorder="1" applyAlignment="1">
      <alignment horizontal="center" vertical="center" wrapText="1"/>
    </xf>
    <xf numFmtId="3" fontId="33" fillId="3" borderId="40" xfId="16" quotePrefix="1" applyNumberFormat="1" applyFont="1" applyFill="1" applyBorder="1" applyAlignment="1">
      <alignment horizontal="center" vertical="center" wrapText="1"/>
    </xf>
    <xf numFmtId="0" fontId="34" fillId="3" borderId="40" xfId="14" quotePrefix="1" applyFont="1" applyFill="1" applyBorder="1" applyAlignment="1">
      <alignment horizontal="center" vertical="center"/>
    </xf>
    <xf numFmtId="0" fontId="34" fillId="3" borderId="40" xfId="14" applyFont="1" applyFill="1" applyBorder="1" applyAlignment="1">
      <alignment horizontal="center" vertical="center" wrapText="1"/>
    </xf>
    <xf numFmtId="0" fontId="34" fillId="3" borderId="40" xfId="14" applyFont="1" applyFill="1" applyBorder="1" applyAlignment="1">
      <alignment horizontal="center" vertical="center"/>
    </xf>
    <xf numFmtId="182" fontId="34" fillId="3" borderId="40" xfId="14" applyNumberFormat="1" applyFont="1" applyFill="1" applyBorder="1" applyAlignment="1">
      <alignment horizontal="right" vertical="center"/>
    </xf>
    <xf numFmtId="3" fontId="34" fillId="3" borderId="40" xfId="14" applyNumberFormat="1" applyFont="1" applyFill="1" applyBorder="1" applyAlignment="1">
      <alignment horizontal="justify" vertical="center" wrapText="1"/>
    </xf>
    <xf numFmtId="0" fontId="34" fillId="3" borderId="5" xfId="14" quotePrefix="1" applyFont="1" applyFill="1" applyBorder="1" applyAlignment="1">
      <alignment horizontal="center" vertical="center"/>
    </xf>
    <xf numFmtId="0" fontId="34" fillId="3" borderId="5" xfId="14" applyFont="1" applyFill="1" applyBorder="1" applyAlignment="1">
      <alignment horizontal="left" vertical="center" wrapText="1"/>
    </xf>
    <xf numFmtId="0" fontId="34" fillId="3" borderId="5" xfId="14" applyFont="1" applyFill="1" applyBorder="1" applyAlignment="1">
      <alignment horizontal="center" vertical="center" wrapText="1"/>
    </xf>
    <xf numFmtId="0" fontId="34" fillId="3" borderId="5" xfId="14" applyFont="1" applyFill="1" applyBorder="1" applyAlignment="1">
      <alignment horizontal="center" vertical="center"/>
    </xf>
    <xf numFmtId="3" fontId="34" fillId="3" borderId="5" xfId="14" applyNumberFormat="1" applyFont="1" applyFill="1" applyBorder="1" applyAlignment="1">
      <alignment vertical="center" wrapText="1"/>
    </xf>
    <xf numFmtId="182" fontId="34" fillId="3" borderId="5" xfId="14" applyNumberFormat="1" applyFont="1" applyFill="1" applyBorder="1" applyAlignment="1">
      <alignment vertical="center"/>
    </xf>
    <xf numFmtId="183" fontId="34" fillId="3" borderId="5" xfId="14" applyNumberFormat="1" applyFont="1" applyFill="1" applyBorder="1" applyAlignment="1">
      <alignment vertical="center"/>
    </xf>
    <xf numFmtId="3" fontId="32" fillId="3" borderId="5" xfId="14" applyNumberFormat="1" applyFont="1" applyFill="1" applyBorder="1" applyAlignment="1">
      <alignment horizontal="justify" vertical="center" wrapText="1"/>
    </xf>
    <xf numFmtId="0" fontId="32" fillId="3" borderId="5" xfId="15" applyFont="1" applyFill="1" applyBorder="1" applyAlignment="1">
      <alignment horizontal="center" vertical="center" wrapText="1"/>
    </xf>
    <xf numFmtId="4" fontId="34" fillId="3" borderId="5" xfId="14" applyNumberFormat="1" applyFont="1" applyFill="1" applyBorder="1" applyAlignment="1">
      <alignment horizontal="center" vertical="center" wrapText="1"/>
    </xf>
    <xf numFmtId="3" fontId="34" fillId="3" borderId="5" xfId="14" applyNumberFormat="1" applyFont="1" applyFill="1" applyBorder="1" applyAlignment="1">
      <alignment horizontal="justify" vertical="center" wrapText="1"/>
    </xf>
    <xf numFmtId="0" fontId="34" fillId="3" borderId="5" xfId="14" applyFont="1" applyFill="1" applyBorder="1" applyAlignment="1">
      <alignment horizontal="justify" vertical="center" wrapText="1"/>
    </xf>
    <xf numFmtId="182" fontId="34" fillId="3" borderId="5" xfId="14" applyNumberFormat="1" applyFont="1" applyFill="1" applyBorder="1" applyAlignment="1">
      <alignment horizontal="right" vertical="center"/>
    </xf>
    <xf numFmtId="183" fontId="34" fillId="3" borderId="5" xfId="14" applyNumberFormat="1" applyFont="1" applyFill="1" applyBorder="1" applyAlignment="1">
      <alignment horizontal="right" vertical="center"/>
    </xf>
    <xf numFmtId="3" fontId="32" fillId="3" borderId="5" xfId="16" quotePrefix="1" applyNumberFormat="1" applyFont="1" applyFill="1" applyBorder="1" applyAlignment="1">
      <alignment horizontal="center" vertical="center" wrapText="1"/>
    </xf>
    <xf numFmtId="1" fontId="32" fillId="3" borderId="5" xfId="16" applyNumberFormat="1" applyFont="1" applyFill="1" applyBorder="1" applyAlignment="1">
      <alignment vertical="center" wrapText="1"/>
    </xf>
    <xf numFmtId="3" fontId="32" fillId="3" borderId="5" xfId="17" applyNumberFormat="1" applyFont="1" applyFill="1" applyBorder="1" applyAlignment="1">
      <alignment horizontal="center" vertical="center" wrapText="1"/>
    </xf>
    <xf numFmtId="0" fontId="32" fillId="3" borderId="5" xfId="14" applyFont="1" applyFill="1" applyBorder="1" applyAlignment="1">
      <alignment horizontal="center" vertical="center" wrapText="1"/>
    </xf>
    <xf numFmtId="0" fontId="32" fillId="3" borderId="5" xfId="17" applyFont="1" applyFill="1" applyBorder="1" applyAlignment="1">
      <alignment horizontal="center" vertical="center" wrapText="1"/>
    </xf>
    <xf numFmtId="182" fontId="32" fillId="3" borderId="5" xfId="16" applyNumberFormat="1" applyFont="1" applyFill="1" applyBorder="1" applyAlignment="1">
      <alignment horizontal="center" vertical="center" wrapText="1"/>
    </xf>
    <xf numFmtId="182" fontId="32" fillId="3" borderId="5" xfId="16" applyNumberFormat="1" applyFont="1" applyFill="1" applyBorder="1" applyAlignment="1">
      <alignment horizontal="right" vertical="center" wrapText="1"/>
    </xf>
    <xf numFmtId="182" fontId="32" fillId="3" borderId="5" xfId="14" applyNumberFormat="1" applyFont="1" applyFill="1" applyBorder="1" applyAlignment="1">
      <alignment vertical="center"/>
    </xf>
    <xf numFmtId="181" fontId="34" fillId="3" borderId="5" xfId="14" applyNumberFormat="1" applyFont="1" applyFill="1" applyBorder="1" applyAlignment="1">
      <alignment vertical="center"/>
    </xf>
    <xf numFmtId="181" fontId="34" fillId="3" borderId="5" xfId="14" applyNumberFormat="1" applyFont="1" applyFill="1" applyBorder="1" applyAlignment="1">
      <alignment horizontal="right" vertical="center"/>
    </xf>
    <xf numFmtId="182" fontId="32" fillId="3" borderId="5" xfId="14" applyNumberFormat="1" applyFont="1" applyFill="1" applyBorder="1" applyAlignment="1">
      <alignment horizontal="right" vertical="center"/>
    </xf>
    <xf numFmtId="181" fontId="32" fillId="3" borderId="5" xfId="14" applyNumberFormat="1" applyFont="1" applyFill="1" applyBorder="1" applyAlignment="1">
      <alignment vertical="center"/>
    </xf>
    <xf numFmtId="181" fontId="32" fillId="3" borderId="5" xfId="14" applyNumberFormat="1" applyFont="1" applyFill="1" applyBorder="1" applyAlignment="1">
      <alignment horizontal="right" vertical="center"/>
    </xf>
    <xf numFmtId="183" fontId="32" fillId="3" borderId="5" xfId="14" applyNumberFormat="1" applyFont="1" applyFill="1" applyBorder="1" applyAlignment="1">
      <alignment horizontal="right" vertical="center"/>
    </xf>
    <xf numFmtId="182" fontId="34" fillId="3" borderId="41" xfId="14" applyNumberFormat="1" applyFont="1" applyFill="1" applyBorder="1" applyAlignment="1">
      <alignment vertical="center" wrapText="1"/>
    </xf>
    <xf numFmtId="3" fontId="32" fillId="3" borderId="5" xfId="17" applyNumberFormat="1" applyFont="1" applyFill="1" applyBorder="1" applyAlignment="1">
      <alignment horizontal="left" vertical="center" wrapText="1"/>
    </xf>
    <xf numFmtId="0" fontId="32" fillId="3" borderId="5" xfId="14" applyFont="1" applyFill="1" applyBorder="1" applyAlignment="1">
      <alignment horizontal="center" vertical="center"/>
    </xf>
    <xf numFmtId="182" fontId="32" fillId="3" borderId="5" xfId="17" applyNumberFormat="1" applyFont="1" applyFill="1" applyBorder="1" applyAlignment="1">
      <alignment horizontal="center" vertical="center" wrapText="1"/>
    </xf>
    <xf numFmtId="182" fontId="32" fillId="3" borderId="5" xfId="14" applyNumberFormat="1" applyFont="1" applyFill="1" applyBorder="1" applyAlignment="1">
      <alignment horizontal="center" vertical="center"/>
    </xf>
    <xf numFmtId="181" fontId="32" fillId="3" borderId="5" xfId="14" applyNumberFormat="1" applyFont="1" applyFill="1" applyBorder="1" applyAlignment="1">
      <alignment horizontal="center" vertical="center"/>
    </xf>
    <xf numFmtId="3" fontId="32" fillId="3" borderId="5" xfId="14" applyNumberFormat="1" applyFont="1" applyFill="1" applyBorder="1" applyAlignment="1">
      <alignment horizontal="center" vertical="center" wrapText="1"/>
    </xf>
    <xf numFmtId="3" fontId="32" fillId="3" borderId="5" xfId="17" applyNumberFormat="1" applyFont="1" applyFill="1" applyBorder="1" applyAlignment="1">
      <alignment vertical="center" wrapText="1"/>
    </xf>
    <xf numFmtId="182" fontId="34" fillId="3" borderId="41" xfId="14" applyNumberFormat="1" applyFont="1" applyFill="1" applyBorder="1" applyAlignment="1">
      <alignment horizontal="right" vertical="center"/>
    </xf>
    <xf numFmtId="0" fontId="32" fillId="3" borderId="5" xfId="14" quotePrefix="1" applyFont="1" applyFill="1" applyBorder="1" applyAlignment="1">
      <alignment horizontal="center" vertical="center"/>
    </xf>
    <xf numFmtId="0" fontId="32" fillId="3" borderId="5" xfId="14" applyFont="1" applyFill="1" applyBorder="1" applyAlignment="1">
      <alignment horizontal="justify" vertical="center" wrapText="1"/>
    </xf>
    <xf numFmtId="182" fontId="32" fillId="3" borderId="41" xfId="14" applyNumberFormat="1" applyFont="1" applyFill="1" applyBorder="1" applyAlignment="1">
      <alignment horizontal="right" vertical="center"/>
    </xf>
    <xf numFmtId="0" fontId="32" fillId="3" borderId="5" xfId="14" applyFont="1" applyFill="1" applyBorder="1" applyAlignment="1">
      <alignment vertical="center" wrapText="1"/>
    </xf>
    <xf numFmtId="182" fontId="32" fillId="3" borderId="5" xfId="14" applyNumberFormat="1" applyFont="1" applyFill="1" applyBorder="1" applyAlignment="1">
      <alignment horizontal="center" vertical="center" wrapText="1"/>
    </xf>
    <xf numFmtId="182" fontId="32" fillId="3" borderId="5" xfId="17" applyNumberFormat="1" applyFont="1" applyFill="1" applyBorder="1" applyAlignment="1">
      <alignment horizontal="right" vertical="center" wrapText="1"/>
    </xf>
    <xf numFmtId="3" fontId="34" fillId="3" borderId="5" xfId="17" applyNumberFormat="1" applyFont="1" applyFill="1" applyBorder="1" applyAlignment="1">
      <alignment vertical="center" wrapText="1"/>
    </xf>
    <xf numFmtId="182" fontId="34" fillId="3" borderId="5" xfId="14" applyNumberFormat="1" applyFont="1" applyFill="1" applyBorder="1" applyAlignment="1">
      <alignment horizontal="center" vertical="center" wrapText="1"/>
    </xf>
    <xf numFmtId="182" fontId="34" fillId="3" borderId="5" xfId="14" applyNumberFormat="1" applyFont="1" applyFill="1" applyBorder="1" applyAlignment="1">
      <alignment horizontal="right" vertical="center" wrapText="1"/>
    </xf>
    <xf numFmtId="181" fontId="34" fillId="3" borderId="5" xfId="14" applyNumberFormat="1" applyFont="1" applyFill="1" applyBorder="1" applyAlignment="1">
      <alignment horizontal="right" vertical="center" wrapText="1"/>
    </xf>
    <xf numFmtId="3" fontId="34" fillId="3" borderId="5" xfId="14" applyNumberFormat="1" applyFont="1" applyFill="1" applyBorder="1" applyAlignment="1">
      <alignment vertical="center"/>
    </xf>
    <xf numFmtId="3" fontId="34" fillId="3" borderId="5" xfId="14" applyNumberFormat="1" applyFont="1" applyFill="1" applyBorder="1" applyAlignment="1">
      <alignment horizontal="right" vertical="center"/>
    </xf>
    <xf numFmtId="182" fontId="34" fillId="3" borderId="5" xfId="14" applyNumberFormat="1" applyFont="1" applyFill="1" applyBorder="1" applyAlignment="1">
      <alignment horizontal="center" vertical="center"/>
    </xf>
    <xf numFmtId="0" fontId="35" fillId="0" borderId="0" xfId="7" applyFont="1" applyFill="1" applyAlignment="1">
      <alignment vertical="center"/>
    </xf>
    <xf numFmtId="0" fontId="35" fillId="0" borderId="0" xfId="7" applyFont="1" applyFill="1"/>
    <xf numFmtId="174" fontId="36" fillId="0" borderId="0" xfId="7" applyNumberFormat="1" applyFont="1" applyFill="1" applyBorder="1" applyAlignment="1">
      <alignment horizontal="right" vertical="center"/>
    </xf>
    <xf numFmtId="0" fontId="31" fillId="0" borderId="0" xfId="7" applyFont="1" applyFill="1"/>
    <xf numFmtId="9" fontId="31" fillId="0" borderId="0" xfId="7" applyNumberFormat="1" applyFont="1" applyFill="1"/>
    <xf numFmtId="174" fontId="35" fillId="0" borderId="4" xfId="7" applyNumberFormat="1" applyFont="1" applyFill="1" applyBorder="1" applyAlignment="1" applyProtection="1">
      <alignment horizontal="center" vertical="center" wrapText="1"/>
    </xf>
    <xf numFmtId="0" fontId="35" fillId="0" borderId="4" xfId="7" applyFont="1" applyFill="1" applyBorder="1" applyAlignment="1">
      <alignment horizontal="center" vertical="center" wrapText="1"/>
    </xf>
    <xf numFmtId="174" fontId="31" fillId="0" borderId="0" xfId="7" applyNumberFormat="1" applyFont="1" applyFill="1" applyAlignment="1">
      <alignment horizontal="center" vertical="center" wrapText="1"/>
    </xf>
    <xf numFmtId="174" fontId="31" fillId="0" borderId="0" xfId="7" applyNumberFormat="1" applyFont="1" applyFill="1" applyAlignment="1">
      <alignment vertical="center" wrapText="1"/>
    </xf>
    <xf numFmtId="174" fontId="31" fillId="0" borderId="4" xfId="7" applyNumberFormat="1" applyFont="1" applyFill="1" applyBorder="1" applyAlignment="1" applyProtection="1">
      <alignment horizontal="center" vertical="center" wrapText="1"/>
    </xf>
    <xf numFmtId="174" fontId="31" fillId="0" borderId="4" xfId="7" applyNumberFormat="1" applyFont="1" applyFill="1" applyBorder="1" applyAlignment="1">
      <alignment horizontal="center" vertical="center" wrapText="1"/>
    </xf>
    <xf numFmtId="175" fontId="31" fillId="0" borderId="0" xfId="7" applyNumberFormat="1" applyFont="1" applyFill="1" applyAlignment="1">
      <alignment vertical="center" wrapText="1"/>
    </xf>
    <xf numFmtId="174" fontId="31" fillId="0" borderId="4" xfId="7" applyNumberFormat="1" applyFont="1" applyFill="1" applyBorder="1" applyAlignment="1" applyProtection="1">
      <alignment horizontal="center" vertical="center"/>
    </xf>
    <xf numFmtId="174" fontId="31" fillId="0" borderId="4" xfId="7" applyNumberFormat="1" applyFont="1" applyFill="1" applyBorder="1" applyAlignment="1">
      <alignment horizontal="center" vertical="center"/>
    </xf>
    <xf numFmtId="167" fontId="31" fillId="0" borderId="4" xfId="3" applyNumberFormat="1" applyFont="1" applyFill="1" applyBorder="1" applyAlignment="1">
      <alignment horizontal="center" vertical="center"/>
    </xf>
    <xf numFmtId="0" fontId="31" fillId="0" borderId="0" xfId="7" applyFont="1" applyFill="1" applyAlignment="1">
      <alignment vertical="center"/>
    </xf>
    <xf numFmtId="174" fontId="31" fillId="0" borderId="40" xfId="7" applyNumberFormat="1" applyFont="1" applyFill="1" applyBorder="1" applyAlignment="1">
      <alignment horizontal="center" vertical="center"/>
    </xf>
    <xf numFmtId="174" fontId="31" fillId="0" borderId="40" xfId="7" applyNumberFormat="1" applyFont="1" applyFill="1" applyBorder="1" applyAlignment="1" applyProtection="1">
      <alignment horizontal="left" vertical="center" wrapText="1"/>
    </xf>
    <xf numFmtId="167" fontId="31" fillId="0" borderId="40" xfId="3" applyNumberFormat="1" applyFont="1" applyFill="1" applyBorder="1" applyAlignment="1">
      <alignment vertical="center"/>
    </xf>
    <xf numFmtId="0" fontId="37" fillId="0" borderId="0" xfId="7" applyFont="1" applyFill="1" applyAlignment="1">
      <alignment vertical="center"/>
    </xf>
    <xf numFmtId="174" fontId="31" fillId="0" borderId="5" xfId="7" quotePrefix="1" applyNumberFormat="1" applyFont="1" applyFill="1" applyBorder="1" applyAlignment="1">
      <alignment horizontal="center" vertical="center"/>
    </xf>
    <xf numFmtId="174" fontId="31" fillId="0" borderId="5" xfId="7" applyNumberFormat="1" applyFont="1" applyFill="1" applyBorder="1" applyAlignment="1" applyProtection="1">
      <alignment horizontal="left" vertical="center"/>
    </xf>
    <xf numFmtId="167" fontId="31" fillId="0" borderId="5" xfId="3" applyNumberFormat="1" applyFont="1" applyFill="1" applyBorder="1" applyAlignment="1">
      <alignment vertical="center"/>
    </xf>
    <xf numFmtId="174" fontId="37" fillId="0" borderId="5" xfId="7" quotePrefix="1" applyNumberFormat="1" applyFont="1" applyFill="1" applyBorder="1" applyAlignment="1">
      <alignment horizontal="center" vertical="center"/>
    </xf>
    <xf numFmtId="166" fontId="31" fillId="3" borderId="5" xfId="11" applyNumberFormat="1" applyFont="1" applyFill="1" applyBorder="1" applyAlignment="1">
      <alignment horizontal="left" vertical="center" wrapText="1"/>
    </xf>
    <xf numFmtId="174" fontId="36" fillId="0" borderId="5" xfId="7" quotePrefix="1" applyNumberFormat="1" applyFont="1" applyFill="1" applyBorder="1" applyAlignment="1">
      <alignment horizontal="center" vertical="center"/>
    </xf>
    <xf numFmtId="0" fontId="35" fillId="3" borderId="5" xfId="0" applyFont="1" applyFill="1" applyBorder="1" applyAlignment="1">
      <alignment horizontal="left"/>
    </xf>
    <xf numFmtId="167" fontId="35" fillId="3" borderId="5" xfId="0" applyNumberFormat="1" applyFont="1" applyFill="1" applyBorder="1" applyAlignment="1">
      <alignment horizontal="center"/>
    </xf>
    <xf numFmtId="167" fontId="35" fillId="0" borderId="5" xfId="3" applyNumberFormat="1" applyFont="1" applyFill="1" applyBorder="1" applyAlignment="1">
      <alignment vertical="center"/>
    </xf>
    <xf numFmtId="0" fontId="36" fillId="0" borderId="0" xfId="7" applyFont="1" applyFill="1" applyAlignment="1">
      <alignment vertical="center"/>
    </xf>
    <xf numFmtId="174" fontId="35" fillId="0" borderId="5" xfId="7" quotePrefix="1" applyNumberFormat="1" applyFont="1" applyFill="1" applyBorder="1" applyAlignment="1">
      <alignment horizontal="center" vertical="center"/>
    </xf>
    <xf numFmtId="167" fontId="35" fillId="0" borderId="5" xfId="7" applyNumberFormat="1" applyFont="1" applyFill="1" applyBorder="1" applyAlignment="1">
      <alignment vertical="center"/>
    </xf>
    <xf numFmtId="0" fontId="31" fillId="0" borderId="5" xfId="7" applyFont="1" applyFill="1" applyBorder="1" applyAlignment="1">
      <alignment vertical="center"/>
    </xf>
    <xf numFmtId="167" fontId="31" fillId="0" borderId="5" xfId="7" applyNumberFormat="1" applyFont="1" applyFill="1" applyBorder="1" applyAlignment="1">
      <alignment vertical="center"/>
    </xf>
    <xf numFmtId="174" fontId="37" fillId="0" borderId="5" xfId="7" applyNumberFormat="1" applyFont="1" applyFill="1" applyBorder="1" applyAlignment="1" applyProtection="1">
      <alignment horizontal="left" vertical="center"/>
    </xf>
    <xf numFmtId="174" fontId="31" fillId="0" borderId="5" xfId="7" applyNumberFormat="1" applyFont="1" applyFill="1" applyBorder="1" applyAlignment="1">
      <alignment horizontal="center" vertical="center"/>
    </xf>
    <xf numFmtId="167" fontId="37" fillId="0" borderId="5" xfId="7" applyNumberFormat="1" applyFont="1" applyFill="1" applyBorder="1"/>
    <xf numFmtId="174" fontId="36" fillId="0" borderId="5" xfId="7" applyNumberFormat="1" applyFont="1" applyFill="1" applyBorder="1" applyAlignment="1">
      <alignment horizontal="center" vertical="center"/>
    </xf>
    <xf numFmtId="174" fontId="36" fillId="0" borderId="5" xfId="7" applyNumberFormat="1" applyFont="1" applyFill="1" applyBorder="1" applyAlignment="1" applyProtection="1">
      <alignment horizontal="left" vertical="center"/>
    </xf>
    <xf numFmtId="167" fontId="31" fillId="0" borderId="5" xfId="3" applyNumberFormat="1" applyFont="1" applyFill="1" applyBorder="1"/>
    <xf numFmtId="0" fontId="31" fillId="0" borderId="0" xfId="7" applyFont="1" applyFill="1" applyAlignment="1">
      <alignment vertical="center" wrapText="1"/>
    </xf>
    <xf numFmtId="174" fontId="31" fillId="0" borderId="42" xfId="7" applyNumberFormat="1" applyFont="1" applyFill="1" applyBorder="1" applyAlignment="1">
      <alignment horizontal="center" vertical="center"/>
    </xf>
    <xf numFmtId="174" fontId="31" fillId="0" borderId="42" xfId="7" applyNumberFormat="1" applyFont="1" applyFill="1" applyBorder="1" applyAlignment="1" applyProtection="1">
      <alignment horizontal="left" vertical="center"/>
    </xf>
    <xf numFmtId="167" fontId="31" fillId="0" borderId="42" xfId="3" applyNumberFormat="1" applyFont="1" applyFill="1" applyBorder="1"/>
    <xf numFmtId="167" fontId="31" fillId="0" borderId="42" xfId="3" applyNumberFormat="1" applyFont="1" applyFill="1" applyBorder="1" applyAlignment="1">
      <alignment vertical="center"/>
    </xf>
    <xf numFmtId="0" fontId="35" fillId="0" borderId="0" xfId="0" applyFont="1"/>
    <xf numFmtId="166" fontId="0" fillId="0" borderId="56" xfId="3" applyNumberFormat="1" applyFont="1" applyBorder="1"/>
    <xf numFmtId="43" fontId="20" fillId="2" borderId="44" xfId="3" applyFont="1" applyFill="1" applyBorder="1" applyAlignment="1">
      <alignment horizontal="center" vertical="center" wrapText="1"/>
    </xf>
    <xf numFmtId="43" fontId="20" fillId="2" borderId="45" xfId="3" applyFont="1" applyFill="1" applyBorder="1" applyAlignment="1">
      <alignment horizontal="center" vertical="center" wrapText="1"/>
    </xf>
    <xf numFmtId="166" fontId="12" fillId="0" borderId="0" xfId="0" applyNumberFormat="1" applyFont="1"/>
    <xf numFmtId="0" fontId="29" fillId="0" borderId="25" xfId="0" applyFont="1" applyBorder="1" applyAlignment="1">
      <alignment horizontal="center" vertical="center"/>
    </xf>
    <xf numFmtId="0" fontId="29" fillId="0" borderId="25" xfId="0" applyFont="1" applyBorder="1" applyAlignment="1">
      <alignment horizontal="center" vertical="center" wrapText="1"/>
    </xf>
    <xf numFmtId="0" fontId="20" fillId="0" borderId="5" xfId="0" applyFont="1" applyBorder="1" applyAlignment="1">
      <alignment horizontal="center" vertical="center"/>
    </xf>
    <xf numFmtId="0" fontId="21" fillId="0" borderId="0" xfId="0" applyFont="1"/>
    <xf numFmtId="0" fontId="31" fillId="0" borderId="5" xfId="14" applyFont="1" applyFill="1" applyBorder="1" applyAlignment="1">
      <alignment horizontal="justify" vertical="center" wrapText="1"/>
    </xf>
    <xf numFmtId="3" fontId="35" fillId="0" borderId="5" xfId="17" applyNumberFormat="1" applyFont="1" applyFill="1" applyBorder="1" applyAlignment="1">
      <alignment horizontal="left" vertical="center" wrapText="1"/>
    </xf>
    <xf numFmtId="1" fontId="35" fillId="0" borderId="5" xfId="16" applyNumberFormat="1" applyFont="1" applyFill="1" applyBorder="1" applyAlignment="1">
      <alignment vertical="center" wrapText="1"/>
    </xf>
    <xf numFmtId="183" fontId="38" fillId="3" borderId="5" xfId="14" applyNumberFormat="1" applyFont="1" applyFill="1" applyBorder="1" applyAlignment="1">
      <alignment vertical="center"/>
    </xf>
    <xf numFmtId="182" fontId="38" fillId="3" borderId="5" xfId="14" applyNumberFormat="1" applyFont="1" applyFill="1" applyBorder="1" applyAlignment="1">
      <alignment vertical="center"/>
    </xf>
    <xf numFmtId="0" fontId="35" fillId="0" borderId="5" xfId="14" applyFont="1" applyFill="1" applyBorder="1" applyAlignment="1">
      <alignment horizontal="justify" vertical="center" wrapText="1"/>
    </xf>
    <xf numFmtId="0" fontId="8" fillId="0" borderId="25" xfId="0" applyFont="1" applyBorder="1" applyAlignment="1">
      <alignment horizontal="center" vertical="center" wrapText="1"/>
    </xf>
    <xf numFmtId="0" fontId="14" fillId="0" borderId="25" xfId="0" applyFont="1" applyBorder="1" applyAlignment="1">
      <alignment horizontal="center" vertical="center" wrapText="1"/>
    </xf>
    <xf numFmtId="165" fontId="14" fillId="0" borderId="25" xfId="0" applyNumberFormat="1" applyFont="1" applyBorder="1" applyAlignment="1">
      <alignment vertical="center" wrapText="1"/>
    </xf>
    <xf numFmtId="166" fontId="39" fillId="0" borderId="56" xfId="3" applyNumberFormat="1" applyFont="1" applyBorder="1"/>
    <xf numFmtId="0" fontId="29" fillId="2" borderId="5" xfId="0" applyFont="1" applyFill="1" applyBorder="1" applyAlignment="1">
      <alignment horizontal="center" vertical="center" wrapText="1"/>
    </xf>
    <xf numFmtId="0" fontId="29" fillId="2" borderId="5" xfId="0" applyFont="1" applyFill="1" applyBorder="1" applyAlignment="1">
      <alignment vertical="center" wrapText="1"/>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center"/>
    </xf>
    <xf numFmtId="0" fontId="20" fillId="0" borderId="12" xfId="0" applyFont="1" applyBorder="1" applyAlignment="1">
      <alignment horizontal="center"/>
    </xf>
    <xf numFmtId="0" fontId="21" fillId="0" borderId="25" xfId="0" applyFont="1" applyBorder="1" applyAlignment="1">
      <alignment horizontal="center" vertical="center"/>
    </xf>
    <xf numFmtId="0" fontId="29" fillId="0" borderId="25" xfId="0" applyFont="1" applyBorder="1" applyAlignment="1">
      <alignment horizontal="center" vertical="center"/>
    </xf>
    <xf numFmtId="0" fontId="29" fillId="0" borderId="25"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35" xfId="0" applyFont="1" applyBorder="1" applyAlignment="1">
      <alignment horizontal="center" vertical="center" wrapText="1"/>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21" fillId="0" borderId="13" xfId="0" applyFont="1" applyBorder="1" applyAlignment="1">
      <alignment horizontal="center" vertical="center"/>
    </xf>
    <xf numFmtId="0" fontId="21" fillId="0" borderId="11" xfId="0" applyFont="1" applyBorder="1" applyAlignment="1">
      <alignment horizontal="center" vertical="center"/>
    </xf>
    <xf numFmtId="0" fontId="20" fillId="0" borderId="0" xfId="0" applyFont="1" applyAlignment="1">
      <alignment horizontal="center"/>
    </xf>
    <xf numFmtId="0" fontId="21" fillId="0" borderId="34"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4" xfId="0" applyFont="1" applyBorder="1" applyAlignment="1">
      <alignment horizontal="center" vertical="center"/>
    </xf>
    <xf numFmtId="0" fontId="21" fillId="0" borderId="36" xfId="0" applyFont="1" applyBorder="1" applyAlignment="1">
      <alignment horizontal="center" vertical="center"/>
    </xf>
    <xf numFmtId="0" fontId="21" fillId="0" borderId="35" xfId="0" applyFont="1" applyBorder="1" applyAlignment="1">
      <alignment horizontal="center" vertical="center"/>
    </xf>
    <xf numFmtId="0" fontId="20" fillId="0" borderId="5" xfId="0" applyFont="1" applyBorder="1" applyAlignment="1">
      <alignment horizontal="center" vertical="center"/>
    </xf>
    <xf numFmtId="0" fontId="21" fillId="0" borderId="25" xfId="0" applyFont="1" applyBorder="1" applyAlignment="1">
      <alignment horizontal="center" vertical="center" wrapText="1"/>
    </xf>
    <xf numFmtId="0" fontId="25" fillId="0" borderId="0" xfId="0" applyFont="1" applyAlignment="1">
      <alignment horizontal="center" vertical="center" wrapText="1"/>
    </xf>
    <xf numFmtId="0" fontId="21" fillId="0" borderId="0" xfId="0" applyFont="1" applyAlignment="1">
      <alignment horizontal="right" vertical="center" wrapText="1"/>
    </xf>
    <xf numFmtId="0" fontId="21" fillId="0" borderId="0" xfId="0" applyFont="1" applyAlignment="1">
      <alignment horizontal="center" vertical="center" wrapText="1"/>
    </xf>
    <xf numFmtId="0" fontId="25" fillId="0" borderId="12" xfId="0" applyFont="1" applyBorder="1" applyAlignment="1">
      <alignment horizontal="center" vertical="center"/>
    </xf>
    <xf numFmtId="0" fontId="21" fillId="2" borderId="33"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37" xfId="0" applyFont="1" applyFill="1" applyBorder="1" applyAlignment="1">
      <alignment horizontal="center" vertical="center" wrapText="1"/>
    </xf>
    <xf numFmtId="0" fontId="21" fillId="2" borderId="38"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21" fillId="2" borderId="36" xfId="0" applyFont="1" applyFill="1" applyBorder="1" applyAlignment="1">
      <alignment horizontal="center" vertical="center" wrapText="1"/>
    </xf>
    <xf numFmtId="0" fontId="21" fillId="2" borderId="35" xfId="0" applyFont="1" applyFill="1" applyBorder="1" applyAlignment="1">
      <alignment horizontal="center" vertical="center" wrapText="1"/>
    </xf>
    <xf numFmtId="0" fontId="25" fillId="2" borderId="33"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30" fillId="0" borderId="0" xfId="0" applyFont="1" applyAlignment="1">
      <alignment vertical="center" wrapText="1"/>
    </xf>
    <xf numFmtId="0" fontId="25" fillId="0" borderId="0" xfId="0" applyFont="1" applyAlignment="1">
      <alignment vertical="center" wrapText="1"/>
    </xf>
    <xf numFmtId="0" fontId="25" fillId="0" borderId="0" xfId="0" applyFont="1" applyAlignment="1">
      <alignment vertical="center"/>
    </xf>
    <xf numFmtId="0" fontId="21" fillId="2"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0" borderId="0" xfId="0" applyFont="1"/>
    <xf numFmtId="0" fontId="25" fillId="0" borderId="19" xfId="0" applyFont="1" applyBorder="1" applyAlignment="1">
      <alignment horizontal="right" vertical="center"/>
    </xf>
    <xf numFmtId="0" fontId="29" fillId="0" borderId="0" xfId="0" applyFont="1" applyAlignment="1">
      <alignment horizontal="center"/>
    </xf>
    <xf numFmtId="0" fontId="25" fillId="2" borderId="31"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0" fillId="0" borderId="19" xfId="0" applyFont="1" applyBorder="1" applyAlignment="1">
      <alignment horizontal="center"/>
    </xf>
    <xf numFmtId="0" fontId="25" fillId="2" borderId="46" xfId="0" applyFont="1" applyFill="1" applyBorder="1" applyAlignment="1">
      <alignment horizontal="center" vertical="center" wrapText="1"/>
    </xf>
    <xf numFmtId="0" fontId="25" fillId="2" borderId="47" xfId="0" applyFont="1" applyFill="1" applyBorder="1" applyAlignment="1">
      <alignment horizontal="center" vertical="center" wrapText="1"/>
    </xf>
    <xf numFmtId="0" fontId="25" fillId="2" borderId="48"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1" fillId="2" borderId="26"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5" fillId="3" borderId="31"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3" borderId="32" xfId="0" applyFont="1" applyFill="1" applyBorder="1" applyAlignment="1">
      <alignment horizontal="center" vertical="center" wrapText="1"/>
    </xf>
    <xf numFmtId="0" fontId="25" fillId="3" borderId="14" xfId="0" applyFont="1" applyFill="1" applyBorder="1" applyAlignment="1">
      <alignment horizontal="center" vertical="center" wrapText="1"/>
    </xf>
    <xf numFmtId="0" fontId="25" fillId="3" borderId="21"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0" fillId="0" borderId="0" xfId="2" applyFont="1" applyFill="1" applyAlignment="1">
      <alignment horizontal="center"/>
    </xf>
    <xf numFmtId="0" fontId="21" fillId="2" borderId="24"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0" fillId="0" borderId="4" xfId="0" applyFont="1" applyFill="1" applyBorder="1" applyAlignment="1">
      <alignment horizontal="center"/>
    </xf>
    <xf numFmtId="0" fontId="21" fillId="0" borderId="0" xfId="0" applyFont="1" applyFill="1" applyBorder="1" applyAlignment="1">
      <alignment horizontal="left" vertical="center" wrapText="1"/>
    </xf>
    <xf numFmtId="0" fontId="21" fillId="0" borderId="4"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5" fillId="0" borderId="12" xfId="0" applyFont="1" applyFill="1" applyBorder="1" applyAlignment="1">
      <alignment horizontal="left" vertical="center"/>
    </xf>
    <xf numFmtId="0" fontId="21" fillId="0" borderId="27"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0" xfId="0" applyFont="1" applyFill="1" applyAlignment="1">
      <alignment horizontal="center" vertical="center"/>
    </xf>
    <xf numFmtId="0" fontId="26" fillId="0" borderId="0" xfId="0" applyFont="1" applyAlignment="1">
      <alignment vertical="center" wrapText="1"/>
    </xf>
    <xf numFmtId="0" fontId="20" fillId="0" borderId="0" xfId="0" applyFont="1" applyAlignment="1">
      <alignment horizontal="center" vertical="center"/>
    </xf>
    <xf numFmtId="0" fontId="25" fillId="0" borderId="0" xfId="0" applyFont="1" applyAlignment="1">
      <alignment horizontal="center" vertical="center"/>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4" xfId="0" applyFont="1" applyBorder="1" applyAlignment="1">
      <alignment horizontal="center" vertical="center" wrapText="1"/>
    </xf>
    <xf numFmtId="0" fontId="25" fillId="0" borderId="12" xfId="0" applyFont="1" applyBorder="1" applyAlignment="1">
      <alignment horizontal="right" vertical="center"/>
    </xf>
    <xf numFmtId="0" fontId="7" fillId="3" borderId="0" xfId="0" applyFont="1" applyFill="1" applyAlignment="1">
      <alignment horizontal="center" vertical="center"/>
    </xf>
    <xf numFmtId="0" fontId="7" fillId="3"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0" applyFont="1" applyFill="1" applyAlignment="1">
      <alignment horizontal="center" vertical="center"/>
    </xf>
    <xf numFmtId="0" fontId="20" fillId="0" borderId="0" xfId="1" applyFont="1" applyFill="1" applyAlignment="1">
      <alignment horizontal="center"/>
    </xf>
    <xf numFmtId="0" fontId="20" fillId="2" borderId="26" xfId="0" applyFont="1" applyFill="1" applyBorder="1" applyAlignment="1">
      <alignment horizontal="center" vertical="center" wrapText="1"/>
    </xf>
    <xf numFmtId="0" fontId="8" fillId="0" borderId="25" xfId="0" applyFont="1" applyBorder="1" applyAlignment="1">
      <alignment horizontal="center" vertical="center" wrapText="1"/>
    </xf>
    <xf numFmtId="0" fontId="14" fillId="0" borderId="0" xfId="0" applyFont="1" applyAlignment="1">
      <alignment horizontal="center" vertical="center"/>
    </xf>
    <xf numFmtId="0" fontId="19" fillId="0" borderId="0" xfId="0" applyFont="1" applyBorder="1" applyAlignment="1">
      <alignment horizontal="right" vertical="center"/>
    </xf>
    <xf numFmtId="0" fontId="14" fillId="0" borderId="25" xfId="0" applyFont="1" applyBorder="1" applyAlignment="1">
      <alignment horizontal="center" vertical="center" wrapText="1"/>
    </xf>
    <xf numFmtId="0" fontId="31" fillId="3" borderId="0" xfId="14" applyFont="1" applyFill="1" applyAlignment="1">
      <alignment horizontal="center" vertical="center" wrapText="1"/>
    </xf>
    <xf numFmtId="0" fontId="31" fillId="3" borderId="0" xfId="14" applyFont="1" applyFill="1" applyAlignment="1">
      <alignment horizontal="center" vertical="center"/>
    </xf>
    <xf numFmtId="0" fontId="34" fillId="3" borderId="33" xfId="15" applyFont="1" applyFill="1" applyBorder="1" applyAlignment="1">
      <alignment horizontal="center" vertical="center" wrapText="1"/>
    </xf>
    <xf numFmtId="0" fontId="34" fillId="3" borderId="6" xfId="15" applyFont="1" applyFill="1" applyBorder="1" applyAlignment="1">
      <alignment horizontal="center" vertical="center" wrapText="1"/>
    </xf>
    <xf numFmtId="0" fontId="34" fillId="3" borderId="7" xfId="15" applyFont="1" applyFill="1" applyBorder="1" applyAlignment="1">
      <alignment horizontal="center" vertical="center" wrapText="1"/>
    </xf>
    <xf numFmtId="0" fontId="34" fillId="3" borderId="37" xfId="14" applyFont="1" applyFill="1" applyBorder="1" applyAlignment="1">
      <alignment horizontal="center" vertical="center" wrapText="1"/>
    </xf>
    <xf numFmtId="0" fontId="34" fillId="3" borderId="39" xfId="14" applyFont="1" applyFill="1" applyBorder="1" applyAlignment="1">
      <alignment horizontal="center" vertical="center" wrapText="1"/>
    </xf>
    <xf numFmtId="0" fontId="34" fillId="3" borderId="38" xfId="14" applyFont="1" applyFill="1" applyBorder="1" applyAlignment="1">
      <alignment horizontal="center" vertical="center" wrapText="1"/>
    </xf>
    <xf numFmtId="3" fontId="34" fillId="3" borderId="34" xfId="16" applyNumberFormat="1" applyFont="1" applyFill="1" applyBorder="1" applyAlignment="1">
      <alignment horizontal="center" vertical="center" wrapText="1"/>
    </xf>
    <xf numFmtId="3" fontId="34" fillId="3" borderId="35" xfId="16" applyNumberFormat="1" applyFont="1" applyFill="1" applyBorder="1" applyAlignment="1">
      <alignment horizontal="center" vertical="center" wrapText="1"/>
    </xf>
    <xf numFmtId="3" fontId="32" fillId="3" borderId="33" xfId="16" applyNumberFormat="1" applyFont="1" applyFill="1" applyBorder="1" applyAlignment="1">
      <alignment horizontal="center" vertical="center" wrapText="1"/>
    </xf>
    <xf numFmtId="3" fontId="32" fillId="3" borderId="7" xfId="16" applyNumberFormat="1" applyFont="1" applyFill="1" applyBorder="1" applyAlignment="1">
      <alignment horizontal="center" vertical="center" wrapText="1"/>
    </xf>
    <xf numFmtId="3" fontId="34" fillId="3" borderId="33" xfId="16" applyNumberFormat="1" applyFont="1" applyFill="1" applyBorder="1" applyAlignment="1">
      <alignment horizontal="center" vertical="center" wrapText="1"/>
    </xf>
    <xf numFmtId="3" fontId="34" fillId="3" borderId="6" xfId="16" applyNumberFormat="1" applyFont="1" applyFill="1" applyBorder="1" applyAlignment="1">
      <alignment horizontal="center" vertical="center" wrapText="1"/>
    </xf>
    <xf numFmtId="0" fontId="32" fillId="3" borderId="25" xfId="14" applyFont="1" applyFill="1" applyBorder="1" applyAlignment="1">
      <alignment horizontal="center" vertical="center" wrapText="1"/>
    </xf>
    <xf numFmtId="3" fontId="33" fillId="3" borderId="34" xfId="16" applyNumberFormat="1" applyFont="1" applyFill="1" applyBorder="1" applyAlignment="1">
      <alignment horizontal="center" vertical="center" wrapText="1"/>
    </xf>
    <xf numFmtId="3" fontId="33" fillId="3" borderId="36" xfId="16" applyNumberFormat="1" applyFont="1" applyFill="1" applyBorder="1" applyAlignment="1">
      <alignment horizontal="center" vertical="center" wrapText="1"/>
    </xf>
    <xf numFmtId="3" fontId="33" fillId="3" borderId="35" xfId="16" applyNumberFormat="1" applyFont="1" applyFill="1" applyBorder="1" applyAlignment="1">
      <alignment horizontal="center" vertical="center" wrapText="1"/>
    </xf>
    <xf numFmtId="181" fontId="32" fillId="3" borderId="25" xfId="16" applyNumberFormat="1" applyFont="1" applyFill="1" applyBorder="1" applyAlignment="1">
      <alignment horizontal="center" vertical="center" wrapText="1"/>
    </xf>
    <xf numFmtId="181" fontId="32" fillId="3" borderId="33" xfId="16" applyNumberFormat="1" applyFont="1" applyFill="1" applyBorder="1" applyAlignment="1">
      <alignment horizontal="center" vertical="center" wrapText="1"/>
    </xf>
    <xf numFmtId="181" fontId="32" fillId="3" borderId="6" xfId="16" applyNumberFormat="1" applyFont="1" applyFill="1" applyBorder="1" applyAlignment="1">
      <alignment horizontal="center" vertical="center" wrapText="1"/>
    </xf>
    <xf numFmtId="181" fontId="32" fillId="3" borderId="7" xfId="16" applyNumberFormat="1" applyFont="1" applyFill="1" applyBorder="1" applyAlignment="1">
      <alignment horizontal="center" vertical="center" wrapText="1"/>
    </xf>
    <xf numFmtId="3" fontId="34" fillId="3" borderId="36" xfId="16" applyNumberFormat="1" applyFont="1" applyFill="1" applyBorder="1" applyAlignment="1">
      <alignment horizontal="center" vertical="center" wrapText="1"/>
    </xf>
    <xf numFmtId="181" fontId="34" fillId="3" borderId="25" xfId="16" applyNumberFormat="1" applyFont="1" applyFill="1" applyBorder="1" applyAlignment="1">
      <alignment horizontal="center" vertical="center" wrapText="1"/>
    </xf>
    <xf numFmtId="181" fontId="34" fillId="3" borderId="37" xfId="16" applyNumberFormat="1" applyFont="1" applyFill="1" applyBorder="1" applyAlignment="1">
      <alignment horizontal="center" vertical="center" wrapText="1"/>
    </xf>
    <xf numFmtId="181" fontId="34" fillId="3" borderId="38" xfId="16" applyNumberFormat="1" applyFont="1" applyFill="1" applyBorder="1" applyAlignment="1">
      <alignment horizontal="center" vertical="center" wrapText="1"/>
    </xf>
    <xf numFmtId="3" fontId="32" fillId="3" borderId="6" xfId="16" applyNumberFormat="1" applyFont="1" applyFill="1" applyBorder="1" applyAlignment="1">
      <alignment horizontal="center" vertical="center" wrapText="1"/>
    </xf>
    <xf numFmtId="0" fontId="33" fillId="3" borderId="12" xfId="14" applyFont="1" applyFill="1" applyBorder="1" applyAlignment="1">
      <alignment horizontal="center" vertical="center" wrapText="1"/>
    </xf>
    <xf numFmtId="1" fontId="18" fillId="3" borderId="0" xfId="16" quotePrefix="1" applyNumberFormat="1" applyFont="1" applyFill="1" applyAlignment="1">
      <alignment horizontal="left" vertical="center" wrapText="1"/>
    </xf>
    <xf numFmtId="1" fontId="18" fillId="3" borderId="0" xfId="16" applyNumberFormat="1" applyFont="1" applyFill="1" applyAlignment="1">
      <alignment horizontal="left" vertical="center" wrapText="1"/>
    </xf>
    <xf numFmtId="3" fontId="33" fillId="3" borderId="25" xfId="16" applyNumberFormat="1" applyFont="1" applyFill="1" applyBorder="1" applyAlignment="1">
      <alignment horizontal="center" vertical="center" wrapText="1"/>
    </xf>
    <xf numFmtId="181" fontId="32" fillId="3" borderId="34" xfId="16" applyNumberFormat="1" applyFont="1" applyFill="1" applyBorder="1" applyAlignment="1">
      <alignment horizontal="center" vertical="center" wrapText="1"/>
    </xf>
    <xf numFmtId="181" fontId="32" fillId="3" borderId="35" xfId="16" applyNumberFormat="1" applyFont="1" applyFill="1" applyBorder="1" applyAlignment="1">
      <alignment horizontal="center" vertical="center" wrapText="1"/>
    </xf>
    <xf numFmtId="0" fontId="31" fillId="0" borderId="4" xfId="7" applyFont="1" applyFill="1" applyBorder="1" applyAlignment="1">
      <alignment horizontal="center" vertical="center" wrapText="1"/>
    </xf>
    <xf numFmtId="0" fontId="31" fillId="0" borderId="0" xfId="0" applyFont="1" applyAlignment="1">
      <alignment horizontal="left" vertical="center"/>
    </xf>
    <xf numFmtId="0" fontId="31" fillId="0" borderId="0" xfId="0" applyFont="1" applyAlignment="1">
      <alignment horizontal="center" vertical="center" wrapText="1"/>
    </xf>
    <xf numFmtId="0" fontId="31" fillId="0" borderId="0" xfId="7" applyNumberFormat="1" applyFont="1" applyFill="1" applyAlignment="1">
      <alignment horizontal="center" vertical="center" wrapText="1"/>
    </xf>
    <xf numFmtId="174" fontId="31" fillId="0" borderId="4" xfId="7" applyNumberFormat="1" applyFont="1" applyFill="1" applyBorder="1" applyAlignment="1" applyProtection="1">
      <alignment horizontal="center" vertical="center" wrapText="1"/>
    </xf>
  </cellXfs>
  <cellStyles count="19">
    <cellStyle name="AutoFormat-Optionen" xfId="1"/>
    <cellStyle name="AutoFormat-Optionen 2 2" xfId="2"/>
    <cellStyle name="Comma" xfId="3" builtinId="3"/>
    <cellStyle name="Comma 10" xfId="4"/>
    <cellStyle name="Comma 10 2" xfId="5"/>
    <cellStyle name="Comma 2" xfId="11"/>
    <cellStyle name="Comma 9" xfId="12"/>
    <cellStyle name="Normal" xfId="0" builtinId="0"/>
    <cellStyle name="Normal 10 2" xfId="18"/>
    <cellStyle name="Normal 2" xfId="6"/>
    <cellStyle name="Normal 4" xfId="7"/>
    <cellStyle name="Normal 4 2" xfId="8"/>
    <cellStyle name="Normal 43" xfId="9"/>
    <cellStyle name="Normal 43 2" xfId="17"/>
    <cellStyle name="Normal 6 3 2" xfId="15"/>
    <cellStyle name="Normal 6 6 2" xfId="14"/>
    <cellStyle name="Normal_Bieu mau (CV )" xfId="16"/>
    <cellStyle name="Percent" xfId="10" builtinId="5"/>
    <cellStyle name="Percent 3"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5.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609600</xdr:colOff>
      <xdr:row>30</xdr:row>
      <xdr:rowOff>0</xdr:rowOff>
    </xdr:from>
    <xdr:to>
      <xdr:col>1</xdr:col>
      <xdr:colOff>361950</xdr:colOff>
      <xdr:row>30</xdr:row>
      <xdr:rowOff>40259</xdr:rowOff>
    </xdr:to>
    <xdr:sp macro="" textlink="">
      <xdr:nvSpPr>
        <xdr:cNvPr id="2"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3"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4"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5"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6"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7"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8"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9"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10"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11"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12"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13"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14"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15"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16"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17"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18"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19"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20"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21"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22"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23"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24"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25"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26"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27"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28"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9"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30"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31"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32"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33"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34"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35"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36"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37"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38"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39"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40"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41"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42"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43"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44"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45"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46"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47"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48"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49"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50"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51"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52"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53"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54"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55"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56"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57"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58"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59"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60"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61"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62"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63"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64"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65"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66"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67"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68"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69"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70"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71"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72"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73"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74"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75"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76"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77"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78"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79"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80"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81"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82"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83"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84"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85"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86"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87"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88"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89"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90"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91"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92"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93"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94"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95"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96"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97"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98"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99"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100"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101"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102"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103"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104"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105"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106"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107"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108"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109"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10"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11"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12"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13"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14"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15"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16"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17"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18"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19"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20"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21"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22"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23"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24"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25"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26"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27"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128"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129"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130"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131"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132"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133"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134"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135"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136"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37"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38"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39"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40"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41"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42"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43"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44"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45"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46"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47"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48"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49"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50"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51"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52"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53"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54"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155"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156"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157"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158"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159"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160"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161"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162"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163"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64"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65"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66"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67"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68"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69"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70"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71"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72"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73"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74"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75"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76"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77"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78"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79"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80"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81"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182"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183"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184"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185"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186"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187"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188"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189"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190"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mc:AlternateContent xmlns:mc="http://schemas.openxmlformats.org/markup-compatibility/2006">
    <mc:Choice xmlns:a14="http://schemas.microsoft.com/office/drawing/2010/main" Requires="a14">
      <xdr:twoCellAnchor>
        <xdr:from>
          <xdr:col>1</xdr:col>
          <xdr:colOff>0</xdr:colOff>
          <xdr:row>39</xdr:row>
          <xdr:rowOff>0</xdr:rowOff>
        </xdr:from>
        <xdr:to>
          <xdr:col>1</xdr:col>
          <xdr:colOff>114300</xdr:colOff>
          <xdr:row>39</xdr:row>
          <xdr:rowOff>0</xdr:rowOff>
        </xdr:to>
        <xdr:sp macro="" textlink="">
          <xdr:nvSpPr>
            <xdr:cNvPr id="69633" name="Object 1" hidden="1">
              <a:extLst>
                <a:ext uri="{63B3BB69-23CF-44E3-9099-C40C66FF867C}">
                  <a14:compatExt spid="_x0000_s69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39</xdr:row>
          <xdr:rowOff>0</xdr:rowOff>
        </xdr:from>
        <xdr:to>
          <xdr:col>1</xdr:col>
          <xdr:colOff>114300</xdr:colOff>
          <xdr:row>39</xdr:row>
          <xdr:rowOff>0</xdr:rowOff>
        </xdr:to>
        <xdr:sp macro="" textlink="">
          <xdr:nvSpPr>
            <xdr:cNvPr id="69634" name="Object 2" hidden="1">
              <a:extLst>
                <a:ext uri="{63B3BB69-23CF-44E3-9099-C40C66FF867C}">
                  <a14:compatExt spid="_x0000_s69634"/>
                </a:ext>
              </a:extLst>
            </xdr:cNvPr>
            <xdr:cNvSpPr/>
          </xdr:nvSpPr>
          <xdr:spPr>
            <a:xfrm>
              <a:off x="0" y="0"/>
              <a:ext cx="0" cy="0"/>
            </a:xfrm>
            <a:prstGeom prst="rect">
              <a:avLst/>
            </a:prstGeom>
          </xdr:spPr>
        </xdr:sp>
        <xdr:clientData/>
      </xdr:twoCellAnchor>
    </mc:Choice>
    <mc:Fallback/>
  </mc:AlternateContent>
  <xdr:twoCellAnchor editAs="oneCell">
    <xdr:from>
      <xdr:col>0</xdr:col>
      <xdr:colOff>609600</xdr:colOff>
      <xdr:row>30</xdr:row>
      <xdr:rowOff>0</xdr:rowOff>
    </xdr:from>
    <xdr:to>
      <xdr:col>1</xdr:col>
      <xdr:colOff>361950</xdr:colOff>
      <xdr:row>30</xdr:row>
      <xdr:rowOff>40259</xdr:rowOff>
    </xdr:to>
    <xdr:sp macro="" textlink="">
      <xdr:nvSpPr>
        <xdr:cNvPr id="193"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194"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195"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196"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197"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198"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199"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00"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01"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02"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03"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04"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05"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06"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07"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08"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09"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10"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211"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212"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213"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214"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215"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216"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217"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218"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219"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20"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21"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22"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23"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24"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25"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26"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27"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28"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29"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30"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31"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32"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33"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34"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35"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36"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37"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238"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239"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240"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241"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242"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243"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244"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245"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39116</xdr:rowOff>
    </xdr:to>
    <xdr:sp macro="" textlink="">
      <xdr:nvSpPr>
        <xdr:cNvPr id="246"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47"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48"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49"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50"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51"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52"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53"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54"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55"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56"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57"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58"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59"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60"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61"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62"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63"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64"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265"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266"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267"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268"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269"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270"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271"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272"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273"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74"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75"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76"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77"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78"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79"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80"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81"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82"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83"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84"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85"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86"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87"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88"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89"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90"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40259</xdr:rowOff>
    </xdr:to>
    <xdr:sp macro="" textlink="">
      <xdr:nvSpPr>
        <xdr:cNvPr id="291"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292"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293"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294"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295"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296"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297"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298"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299"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30</xdr:row>
      <xdr:rowOff>0</xdr:rowOff>
    </xdr:from>
    <xdr:to>
      <xdr:col>1</xdr:col>
      <xdr:colOff>361950</xdr:colOff>
      <xdr:row>30</xdr:row>
      <xdr:rowOff>39497</xdr:rowOff>
    </xdr:to>
    <xdr:sp macro="" textlink="">
      <xdr:nvSpPr>
        <xdr:cNvPr id="300"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01"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02"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03"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04"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05"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06"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07"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08"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09"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10"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11"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12"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13"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14"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15"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16"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17"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18"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319"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320"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321"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322"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323"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324"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325"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326"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327"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28"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29"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30"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31"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32"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33"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34"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35"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36"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37"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38"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39"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40"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41"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42"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43"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44"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45"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346"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347"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348"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349"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350"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351"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352"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353"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354"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55"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56"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57"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58"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59"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60"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61"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62"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63"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64"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65"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66"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67"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68"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69"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70"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71"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72"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373"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374"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375"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376"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377"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378"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379"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380"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381"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mc:AlternateContent xmlns:mc="http://schemas.openxmlformats.org/markup-compatibility/2006">
    <mc:Choice xmlns:a14="http://schemas.microsoft.com/office/drawing/2010/main" Requires="a14">
      <xdr:twoCellAnchor>
        <xdr:from>
          <xdr:col>1</xdr:col>
          <xdr:colOff>0</xdr:colOff>
          <xdr:row>39</xdr:row>
          <xdr:rowOff>0</xdr:rowOff>
        </xdr:from>
        <xdr:to>
          <xdr:col>1</xdr:col>
          <xdr:colOff>114300</xdr:colOff>
          <xdr:row>39</xdr:row>
          <xdr:rowOff>0</xdr:rowOff>
        </xdr:to>
        <xdr:sp macro="" textlink="">
          <xdr:nvSpPr>
            <xdr:cNvPr id="69636" name="Object 4" hidden="1">
              <a:extLst>
                <a:ext uri="{63B3BB69-23CF-44E3-9099-C40C66FF867C}">
                  <a14:compatExt spid="_x0000_s696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39</xdr:row>
          <xdr:rowOff>0</xdr:rowOff>
        </xdr:from>
        <xdr:to>
          <xdr:col>1</xdr:col>
          <xdr:colOff>114300</xdr:colOff>
          <xdr:row>39</xdr:row>
          <xdr:rowOff>0</xdr:rowOff>
        </xdr:to>
        <xdr:sp macro="" textlink="">
          <xdr:nvSpPr>
            <xdr:cNvPr id="69637" name="Object 5" hidden="1">
              <a:extLst>
                <a:ext uri="{63B3BB69-23CF-44E3-9099-C40C66FF867C}">
                  <a14:compatExt spid="_x0000_s69637"/>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or\Downloads\BIEU%20phan%20bo%20chi%20tiet%202022%20hang_sau%20thao%20luan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istrator\Downloads\BIEU%20chi%20tiet%20LAP%20DT%202021_%20thu%2012_12_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ministrator\Downloads\1.%20KH%20DTC%20KH%202019%20(10-12-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1"/>
      <sheetName val="b02"/>
      <sheetName val="b03"/>
      <sheetName val="b12"/>
      <sheetName val="b13"/>
      <sheetName val="B14"/>
      <sheetName val="b15"/>
      <sheetName val="b16"/>
      <sheetName val="b17"/>
      <sheetName val="29.1"/>
      <sheetName val="b31"/>
      <sheetName val="32"/>
      <sheetName val="b35"/>
      <sheetName val="b2A"/>
      <sheetName val="b2B"/>
      <sheetName val="b2C"/>
      <sheetName val="b2D"/>
      <sheetName val="B18"/>
      <sheetName val="CDoi"/>
      <sheetName val="TH"/>
      <sheetName val="Mau 05 UB"/>
      <sheetName val="XA"/>
      <sheetName val="quỹ lương 2022"/>
      <sheetName val="GDPa2"/>
      <sheetName val="sn gd"/>
      <sheetName val="01"/>
      <sheetName val="02"/>
      <sheetName val="quân sự"/>
      <sheetName val="04-21"/>
      <sheetName val="34"/>
      <sheetName val="Sheet1"/>
      <sheetName val="THU NSX"/>
      <sheetName val="CD xa"/>
      <sheetName val="ngoai D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row r="13">
          <cell r="C13">
            <v>29546</v>
          </cell>
        </row>
        <row r="14">
          <cell r="C14">
            <v>37151</v>
          </cell>
        </row>
        <row r="15">
          <cell r="C15">
            <v>508</v>
          </cell>
        </row>
        <row r="16">
          <cell r="C16">
            <v>26036</v>
          </cell>
        </row>
        <row r="17">
          <cell r="C17">
            <v>479</v>
          </cell>
        </row>
        <row r="18">
          <cell r="C18">
            <v>198</v>
          </cell>
        </row>
        <row r="19">
          <cell r="C19">
            <v>635</v>
          </cell>
        </row>
        <row r="20">
          <cell r="C20">
            <v>106</v>
          </cell>
        </row>
        <row r="21">
          <cell r="C21">
            <v>490</v>
          </cell>
        </row>
        <row r="22">
          <cell r="C22">
            <v>11785</v>
          </cell>
        </row>
        <row r="23">
          <cell r="C23">
            <v>10886</v>
          </cell>
        </row>
      </sheetData>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 NSX"/>
      <sheetName val="Thu NSX"/>
      <sheetName val="huyen giao"/>
      <sheetName val="BS NST"/>
      <sheetName val="BS NSTW"/>
      <sheetName val="BIEU CDOI"/>
      <sheetName val="TH"/>
      <sheetName val="TONG HOP"/>
      <sheetName val="NS Cap huyen"/>
      <sheetName val="NSX 2021"/>
      <sheetName val="LLDQTT"/>
      <sheetName val="DAT 2021"/>
      <sheetName val="danh sach"/>
      <sheetName val="tong hop 2017_2021"/>
      <sheetName val="tong 2017-2021"/>
      <sheetName val="tinh can doi"/>
    </sheetNames>
    <sheetDataSet>
      <sheetData sheetId="0" refreshError="1"/>
      <sheetData sheetId="1">
        <row r="13">
          <cell r="C13">
            <v>56121</v>
          </cell>
        </row>
        <row r="14">
          <cell r="C14">
            <v>27656</v>
          </cell>
        </row>
        <row r="15">
          <cell r="C15">
            <v>539</v>
          </cell>
        </row>
        <row r="16">
          <cell r="C16">
            <v>23869</v>
          </cell>
        </row>
        <row r="17">
          <cell r="C17">
            <v>474</v>
          </cell>
        </row>
        <row r="18">
          <cell r="C18">
            <v>240</v>
          </cell>
        </row>
        <row r="19">
          <cell r="C19">
            <v>820</v>
          </cell>
        </row>
        <row r="20">
          <cell r="C20">
            <v>165</v>
          </cell>
        </row>
        <row r="21">
          <cell r="C21">
            <v>521</v>
          </cell>
        </row>
        <row r="22">
          <cell r="C22">
            <v>11215</v>
          </cell>
        </row>
        <row r="23">
          <cell r="C23">
            <v>20100</v>
          </cell>
        </row>
      </sheetData>
      <sheetData sheetId="2" refreshError="1"/>
      <sheetData sheetId="3" refreshError="1"/>
      <sheetData sheetId="4" refreshError="1"/>
      <sheetData sheetId="5" refreshError="1"/>
      <sheetData sheetId="6" refreshError="1"/>
      <sheetData sheetId="7"/>
      <sheetData sheetId="8">
        <row r="23">
          <cell r="J23">
            <v>39000</v>
          </cell>
        </row>
      </sheetData>
      <sheetData sheetId="9">
        <row r="25">
          <cell r="E25">
            <v>53551.233657009994</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02. Bo"/>
      <sheetName val="BC HD"/>
      <sheetName val="B01. Tong hop"/>
      <sheetName val="Phu luc_BC"/>
      <sheetName val="Bieu 2019"/>
      <sheetName val="Bieu 02. Chi tiet CĐNSĐP 2019"/>
      <sheetName val="B03. Phan cap 2019"/>
      <sheetName val="Bieu 04. CT MTQG 2019"/>
      <sheetName val="Bieu 05. Chi tiet von CTMTQG"/>
      <sheetName val="B06. Thu de lai 2016 - 2020"/>
      <sheetName val="Bieu 07. QD22"/>
      <sheetName val="Nợ đọng chốt"/>
      <sheetName val="2017"/>
      <sheetName val="CT mới"/>
      <sheetName val="Nợ KCHKM"/>
      <sheetName val="B04. Vay 2016 - 2020"/>
      <sheetName val="Bieu TT 82-2017"/>
    </sheetNames>
    <sheetDataSet>
      <sheetData sheetId="0" refreshError="1"/>
      <sheetData sheetId="1" refreshError="1"/>
      <sheetData sheetId="2" refreshError="1"/>
      <sheetData sheetId="3" refreshError="1"/>
      <sheetData sheetId="4" refreshError="1"/>
      <sheetData sheetId="5" refreshError="1">
        <row r="68">
          <cell r="B68" t="str">
            <v>Thị trấn</v>
          </cell>
        </row>
        <row r="69">
          <cell r="B69" t="str">
            <v>Sa Nghĩa</v>
          </cell>
        </row>
        <row r="70">
          <cell r="B70" t="str">
            <v>Sa Bình</v>
          </cell>
        </row>
        <row r="71">
          <cell r="B71" t="str">
            <v>Sa Sơn</v>
          </cell>
        </row>
        <row r="72">
          <cell r="B72" t="str">
            <v>Sa Nhơn</v>
          </cell>
        </row>
        <row r="73">
          <cell r="B73" t="str">
            <v>Ya Ly</v>
          </cell>
        </row>
        <row r="74">
          <cell r="B74" t="str">
            <v xml:space="preserve">Ya Xiêr </v>
          </cell>
        </row>
        <row r="75">
          <cell r="B75" t="str">
            <v>Rờ Kơi</v>
          </cell>
        </row>
        <row r="76">
          <cell r="B76" t="str">
            <v>Mô Rai</v>
          </cell>
        </row>
        <row r="77">
          <cell r="B77" t="str">
            <v>Hơ Moong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5.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7.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 Id="rId9" Type="http://schemas.openxmlformats.org/officeDocument/2006/relationships/comments" Target="../comments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0"/>
  <sheetViews>
    <sheetView workbookViewId="0">
      <pane xSplit="3" ySplit="7" topLeftCell="D8" activePane="bottomRight" state="frozen"/>
      <selection pane="topRight" activeCell="E1" sqref="E1"/>
      <selection pane="bottomLeft" activeCell="A8" sqref="A8"/>
      <selection pane="bottomRight" activeCell="G7" sqref="G7"/>
    </sheetView>
  </sheetViews>
  <sheetFormatPr defaultRowHeight="15" x14ac:dyDescent="0.25"/>
  <cols>
    <col min="1" max="1" width="6" style="2" customWidth="1"/>
    <col min="2" max="2" width="64" style="2" customWidth="1"/>
    <col min="3" max="7" width="11" style="2" customWidth="1"/>
    <col min="8" max="8" width="9.42578125" style="2" bestFit="1" customWidth="1"/>
    <col min="9" max="9" width="9.28515625" style="2" bestFit="1" customWidth="1"/>
    <col min="10" max="16384" width="9.140625" style="2"/>
  </cols>
  <sheetData>
    <row r="1" spans="1:9" ht="19.5" customHeight="1" x14ac:dyDescent="0.25">
      <c r="A1" s="529" t="s">
        <v>180</v>
      </c>
      <c r="B1" s="529"/>
      <c r="D1" s="15"/>
      <c r="E1" s="530" t="s">
        <v>442</v>
      </c>
      <c r="F1" s="530"/>
      <c r="G1" s="530"/>
      <c r="H1" s="530"/>
      <c r="I1" s="530"/>
    </row>
    <row r="2" spans="1:9" ht="23.25" customHeight="1" x14ac:dyDescent="0.25">
      <c r="A2" s="531" t="s">
        <v>443</v>
      </c>
      <c r="B2" s="531"/>
      <c r="C2" s="531"/>
      <c r="D2" s="531"/>
      <c r="E2" s="531"/>
      <c r="F2" s="531"/>
      <c r="G2" s="531"/>
      <c r="H2" s="531"/>
      <c r="I2" s="531"/>
    </row>
    <row r="3" spans="1:9" x14ac:dyDescent="0.25">
      <c r="B3" s="16"/>
      <c r="E3" s="532" t="s">
        <v>444</v>
      </c>
      <c r="F3" s="532"/>
      <c r="G3" s="532"/>
      <c r="H3" s="532"/>
      <c r="I3" s="532"/>
    </row>
    <row r="4" spans="1:9" ht="46.5" customHeight="1" x14ac:dyDescent="0.25">
      <c r="A4" s="533" t="s">
        <v>13</v>
      </c>
      <c r="B4" s="533" t="s">
        <v>14</v>
      </c>
      <c r="C4" s="534" t="s">
        <v>356</v>
      </c>
      <c r="D4" s="534"/>
      <c r="E4" s="535" t="s">
        <v>445</v>
      </c>
      <c r="F4" s="536" t="s">
        <v>446</v>
      </c>
      <c r="G4" s="537"/>
      <c r="H4" s="535" t="s">
        <v>447</v>
      </c>
      <c r="I4" s="534"/>
    </row>
    <row r="5" spans="1:9" ht="54" customHeight="1" x14ac:dyDescent="0.25">
      <c r="A5" s="533"/>
      <c r="B5" s="533"/>
      <c r="C5" s="513" t="s">
        <v>448</v>
      </c>
      <c r="D5" s="514" t="s">
        <v>449</v>
      </c>
      <c r="E5" s="534"/>
      <c r="F5" s="513" t="s">
        <v>448</v>
      </c>
      <c r="G5" s="513" t="s">
        <v>450</v>
      </c>
      <c r="H5" s="513" t="s">
        <v>16</v>
      </c>
      <c r="I5" s="514" t="s">
        <v>451</v>
      </c>
    </row>
    <row r="6" spans="1:9" ht="17.25" customHeight="1" x14ac:dyDescent="0.25">
      <c r="A6" s="17" t="s">
        <v>17</v>
      </c>
      <c r="B6" s="17" t="s">
        <v>18</v>
      </c>
      <c r="C6" s="17">
        <v>1</v>
      </c>
      <c r="D6" s="17">
        <v>2</v>
      </c>
      <c r="E6" s="17">
        <v>3</v>
      </c>
      <c r="F6" s="17">
        <v>4</v>
      </c>
      <c r="G6" s="17">
        <v>5</v>
      </c>
      <c r="H6" s="17">
        <v>6</v>
      </c>
      <c r="I6" s="17">
        <v>7</v>
      </c>
    </row>
    <row r="7" spans="1:9" s="516" customFormat="1" ht="14.25" x14ac:dyDescent="0.2">
      <c r="A7" s="20" t="s">
        <v>17</v>
      </c>
      <c r="B7" s="21" t="s">
        <v>452</v>
      </c>
      <c r="C7" s="22">
        <f>C8+C12+C15+C16+C17</f>
        <v>319343</v>
      </c>
      <c r="D7" s="22">
        <f>D8+D12+D15+D16+D17</f>
        <v>366153</v>
      </c>
      <c r="E7" s="22">
        <f>E8+E12+E15+E16+E17</f>
        <v>478307.09194900002</v>
      </c>
      <c r="F7" s="22">
        <f>F8+F12+F15+F16+F17</f>
        <v>361225</v>
      </c>
      <c r="G7" s="22">
        <f>G8+G12+G15+G16+G17</f>
        <v>447546.75</v>
      </c>
      <c r="H7" s="22">
        <f>H8+H12+H15+H17</f>
        <v>67744.248345000015</v>
      </c>
      <c r="I7" s="23">
        <f>G7/E7</f>
        <v>0.93568913681865318</v>
      </c>
    </row>
    <row r="8" spans="1:9" s="516" customFormat="1" ht="17.25" customHeight="1" x14ac:dyDescent="0.2">
      <c r="A8" s="24" t="s">
        <v>19</v>
      </c>
      <c r="B8" s="25" t="s">
        <v>117</v>
      </c>
      <c r="C8" s="26">
        <f>SUM(C9:C10)</f>
        <v>75491</v>
      </c>
      <c r="D8" s="26">
        <f>SUM(D9:D10)</f>
        <v>122301</v>
      </c>
      <c r="E8" s="26">
        <f>SUM(E9:E10)</f>
        <v>117871.04659499999</v>
      </c>
      <c r="F8" s="26">
        <f>SUM(F9:F10)</f>
        <v>94965</v>
      </c>
      <c r="G8" s="26">
        <f>SUM(G9:G10)</f>
        <v>181286.75</v>
      </c>
      <c r="H8" s="26">
        <f t="shared" ref="H8:H18" si="0">G8-E8</f>
        <v>63415.703405000007</v>
      </c>
      <c r="I8" s="27">
        <f>G8/E8</f>
        <v>1.5380091654135704</v>
      </c>
    </row>
    <row r="9" spans="1:9" ht="17.25" customHeight="1" x14ac:dyDescent="0.25">
      <c r="A9" s="515">
        <v>1</v>
      </c>
      <c r="B9" s="28" t="s">
        <v>453</v>
      </c>
      <c r="C9" s="29">
        <v>6190</v>
      </c>
      <c r="D9" s="29">
        <v>6200</v>
      </c>
      <c r="E9" s="19">
        <v>6965.7569629999998</v>
      </c>
      <c r="F9" s="29">
        <v>20025</v>
      </c>
      <c r="G9" s="526">
        <v>98697</v>
      </c>
      <c r="H9" s="29">
        <f>G9-E9</f>
        <v>91731.243037000007</v>
      </c>
      <c r="I9" s="30">
        <f>G9/E9</f>
        <v>14.168883658193746</v>
      </c>
    </row>
    <row r="10" spans="1:9" ht="17.25" customHeight="1" x14ac:dyDescent="0.25">
      <c r="A10" s="515">
        <v>2</v>
      </c>
      <c r="B10" s="28" t="s">
        <v>454</v>
      </c>
      <c r="C10" s="29">
        <f>75491-C9</f>
        <v>69301</v>
      </c>
      <c r="D10" s="29">
        <v>116101</v>
      </c>
      <c r="E10" s="19">
        <v>110905.289632</v>
      </c>
      <c r="F10" s="29">
        <v>74940</v>
      </c>
      <c r="G10" s="526">
        <v>82589.75</v>
      </c>
      <c r="H10" s="29">
        <f t="shared" si="0"/>
        <v>-28315.539632</v>
      </c>
      <c r="I10" s="30">
        <f>G10/E10</f>
        <v>0.74468720359547225</v>
      </c>
    </row>
    <row r="11" spans="1:9" ht="17.25" customHeight="1" x14ac:dyDescent="0.25">
      <c r="A11" s="515" t="s">
        <v>256</v>
      </c>
      <c r="B11" s="28" t="s">
        <v>455</v>
      </c>
      <c r="C11" s="29"/>
      <c r="D11" s="29"/>
      <c r="E11" s="29"/>
      <c r="F11" s="29"/>
      <c r="G11" s="29"/>
      <c r="H11" s="29">
        <f t="shared" si="0"/>
        <v>0</v>
      </c>
      <c r="I11" s="30"/>
    </row>
    <row r="12" spans="1:9" s="516" customFormat="1" ht="17.25" customHeight="1" x14ac:dyDescent="0.2">
      <c r="A12" s="24" t="s">
        <v>29</v>
      </c>
      <c r="B12" s="25" t="s">
        <v>22</v>
      </c>
      <c r="C12" s="26">
        <f>SUM(C13:C14)</f>
        <v>243852</v>
      </c>
      <c r="D12" s="26">
        <f>SUM(D13:D14)</f>
        <v>243852</v>
      </c>
      <c r="E12" s="26">
        <f>SUM(E13:E14)</f>
        <v>253430.53599999999</v>
      </c>
      <c r="F12" s="26">
        <f>SUM(F13:F14)</f>
        <v>266260</v>
      </c>
      <c r="G12" s="26">
        <f>SUM(G13:G14)</f>
        <v>266260</v>
      </c>
      <c r="H12" s="26">
        <f t="shared" si="0"/>
        <v>12829.464000000007</v>
      </c>
      <c r="I12" s="27">
        <f>G12/E12</f>
        <v>1.0506231971983044</v>
      </c>
    </row>
    <row r="13" spans="1:9" ht="17.25" customHeight="1" x14ac:dyDescent="0.25">
      <c r="A13" s="515">
        <v>1</v>
      </c>
      <c r="B13" s="28" t="s">
        <v>24</v>
      </c>
      <c r="C13" s="29">
        <v>210681</v>
      </c>
      <c r="D13" s="29">
        <v>210681</v>
      </c>
      <c r="E13" s="29">
        <v>210681</v>
      </c>
      <c r="F13" s="31">
        <v>258162</v>
      </c>
      <c r="G13" s="31">
        <v>258162</v>
      </c>
      <c r="H13" s="29">
        <f t="shared" si="0"/>
        <v>47481</v>
      </c>
      <c r="I13" s="30">
        <f>G13/E13</f>
        <v>1.225369160009683</v>
      </c>
    </row>
    <row r="14" spans="1:9" ht="17.25" customHeight="1" x14ac:dyDescent="0.25">
      <c r="A14" s="515">
        <v>2</v>
      </c>
      <c r="B14" s="28" t="s">
        <v>25</v>
      </c>
      <c r="C14" s="29">
        <v>33171</v>
      </c>
      <c r="D14" s="29">
        <v>33171</v>
      </c>
      <c r="E14" s="32">
        <f>33171+9578.536</f>
        <v>42749.536</v>
      </c>
      <c r="F14" s="29">
        <v>8098</v>
      </c>
      <c r="G14" s="29">
        <f>7978+120</f>
        <v>8098</v>
      </c>
      <c r="H14" s="29">
        <f t="shared" si="0"/>
        <v>-34651.536</v>
      </c>
      <c r="I14" s="30">
        <f>G14/E14</f>
        <v>0.18942895660902612</v>
      </c>
    </row>
    <row r="15" spans="1:9" s="516" customFormat="1" ht="20.25" customHeight="1" x14ac:dyDescent="0.2">
      <c r="A15" s="24" t="s">
        <v>35</v>
      </c>
      <c r="B15" s="25" t="s">
        <v>27</v>
      </c>
      <c r="C15" s="26"/>
      <c r="D15" s="26"/>
      <c r="E15" s="26">
        <v>8404.0792600000004</v>
      </c>
      <c r="F15" s="26"/>
      <c r="G15" s="26"/>
      <c r="H15" s="26">
        <f t="shared" si="0"/>
        <v>-8404.0792600000004</v>
      </c>
      <c r="I15" s="27">
        <f>G15/E15</f>
        <v>0</v>
      </c>
    </row>
    <row r="16" spans="1:9" s="516" customFormat="1" ht="20.25" customHeight="1" x14ac:dyDescent="0.2">
      <c r="A16" s="24" t="s">
        <v>68</v>
      </c>
      <c r="B16" s="25" t="s">
        <v>28</v>
      </c>
      <c r="C16" s="26"/>
      <c r="D16" s="26"/>
      <c r="E16" s="26">
        <f>87770.36215+3441.215459+7293.012685</f>
        <v>98504.590293999994</v>
      </c>
      <c r="F16" s="26"/>
      <c r="G16" s="26"/>
      <c r="H16" s="26">
        <f t="shared" si="0"/>
        <v>-98504.590293999994</v>
      </c>
      <c r="I16" s="27">
        <f>G16/E16</f>
        <v>0</v>
      </c>
    </row>
    <row r="17" spans="1:9" s="516" customFormat="1" ht="20.25" customHeight="1" x14ac:dyDescent="0.2">
      <c r="A17" s="24" t="s">
        <v>70</v>
      </c>
      <c r="B17" s="25" t="s">
        <v>456</v>
      </c>
      <c r="C17" s="26"/>
      <c r="D17" s="26"/>
      <c r="E17" s="33">
        <v>96.839799999999997</v>
      </c>
      <c r="F17" s="26"/>
      <c r="G17" s="26"/>
      <c r="H17" s="26">
        <f t="shared" si="0"/>
        <v>-96.839799999999997</v>
      </c>
      <c r="I17" s="27"/>
    </row>
    <row r="18" spans="1:9" s="516" customFormat="1" ht="19.5" customHeight="1" x14ac:dyDescent="0.2">
      <c r="A18" s="24" t="s">
        <v>18</v>
      </c>
      <c r="B18" s="25" t="s">
        <v>250</v>
      </c>
      <c r="C18" s="26">
        <f>C19+C26+C30</f>
        <v>319343</v>
      </c>
      <c r="D18" s="26">
        <f>D19+D26+D30</f>
        <v>366153.23</v>
      </c>
      <c r="E18" s="26">
        <f>E19+E26+E30</f>
        <v>478307.30476799997</v>
      </c>
      <c r="F18" s="26">
        <f>F19+F26+F30</f>
        <v>361225</v>
      </c>
      <c r="G18" s="26">
        <f>G19+G26+G30</f>
        <v>447547</v>
      </c>
      <c r="H18" s="26">
        <f t="shared" si="0"/>
        <v>-30760.304767999973</v>
      </c>
      <c r="I18" s="27">
        <f>G18/E18</f>
        <v>0.93568924316779967</v>
      </c>
    </row>
    <row r="19" spans="1:9" ht="17.25" customHeight="1" x14ac:dyDescent="0.25">
      <c r="A19" s="515" t="s">
        <v>19</v>
      </c>
      <c r="B19" s="28" t="s">
        <v>131</v>
      </c>
      <c r="C19" s="29">
        <f>SUM(C20:C25)</f>
        <v>286172</v>
      </c>
      <c r="D19" s="29">
        <f>SUM(D20:D25)</f>
        <v>332982.23</v>
      </c>
      <c r="E19" s="29">
        <f>SUM(E20:E25)</f>
        <v>419970.94476799999</v>
      </c>
      <c r="F19" s="29">
        <f>SUM(F20:F25)</f>
        <v>353127</v>
      </c>
      <c r="G19" s="29">
        <f>SUM(G20:G25)</f>
        <v>439449</v>
      </c>
      <c r="H19" s="29">
        <f>G19-D19</f>
        <v>106466.77000000002</v>
      </c>
      <c r="I19" s="30">
        <f>G19/D19</f>
        <v>1.319737092276666</v>
      </c>
    </row>
    <row r="20" spans="1:9" ht="17.25" customHeight="1" x14ac:dyDescent="0.25">
      <c r="A20" s="515">
        <v>1</v>
      </c>
      <c r="B20" s="28" t="s">
        <v>457</v>
      </c>
      <c r="C20" s="29">
        <f>7832+2640</f>
        <v>10472</v>
      </c>
      <c r="D20" s="29">
        <f>10472+41360</f>
        <v>51832</v>
      </c>
      <c r="E20" s="29">
        <v>62203.511319999998</v>
      </c>
      <c r="F20" s="29">
        <v>18392</v>
      </c>
      <c r="G20" s="509">
        <f>7832+89232</f>
        <v>97064</v>
      </c>
      <c r="H20" s="29">
        <f t="shared" ref="H20:H29" si="1">G20-D20</f>
        <v>45232</v>
      </c>
      <c r="I20" s="30">
        <f t="shared" ref="I20:I28" si="2">G20/D20</f>
        <v>1.8726655348047538</v>
      </c>
    </row>
    <row r="21" spans="1:9" ht="17.25" customHeight="1" x14ac:dyDescent="0.25">
      <c r="A21" s="515">
        <v>2</v>
      </c>
      <c r="B21" s="28" t="s">
        <v>89</v>
      </c>
      <c r="C21" s="29">
        <v>269970</v>
      </c>
      <c r="D21" s="29">
        <v>268645.92</v>
      </c>
      <c r="E21" s="29">
        <v>267630.05</v>
      </c>
      <c r="F21" s="29">
        <v>327672</v>
      </c>
      <c r="G21" s="34">
        <f>327672+1785+510</f>
        <v>329967</v>
      </c>
      <c r="H21" s="29">
        <f t="shared" si="1"/>
        <v>61321.080000000016</v>
      </c>
      <c r="I21" s="30">
        <f t="shared" si="2"/>
        <v>1.2282598596695606</v>
      </c>
    </row>
    <row r="22" spans="1:9" ht="15" hidden="1" customHeight="1" x14ac:dyDescent="0.25">
      <c r="A22" s="515">
        <v>3</v>
      </c>
      <c r="B22" s="28" t="s">
        <v>458</v>
      </c>
      <c r="C22" s="29"/>
      <c r="D22" s="29"/>
      <c r="E22" s="29"/>
      <c r="F22" s="29"/>
      <c r="G22" s="29"/>
      <c r="H22" s="29">
        <f t="shared" si="1"/>
        <v>0</v>
      </c>
      <c r="I22" s="30" t="e">
        <f t="shared" si="2"/>
        <v>#DIV/0!</v>
      </c>
    </row>
    <row r="23" spans="1:9" ht="15" hidden="1" customHeight="1" x14ac:dyDescent="0.25">
      <c r="A23" s="515">
        <v>4</v>
      </c>
      <c r="B23" s="28" t="s">
        <v>133</v>
      </c>
      <c r="C23" s="29"/>
      <c r="D23" s="29"/>
      <c r="E23" s="29"/>
      <c r="F23" s="29"/>
      <c r="G23" s="29"/>
      <c r="H23" s="29">
        <f t="shared" si="1"/>
        <v>0</v>
      </c>
      <c r="I23" s="30" t="e">
        <f t="shared" si="2"/>
        <v>#DIV/0!</v>
      </c>
    </row>
    <row r="24" spans="1:9" ht="17.25" customHeight="1" x14ac:dyDescent="0.25">
      <c r="A24" s="515">
        <v>3</v>
      </c>
      <c r="B24" s="28" t="s">
        <v>71</v>
      </c>
      <c r="C24" s="29">
        <v>5730</v>
      </c>
      <c r="D24" s="29">
        <v>5730</v>
      </c>
      <c r="E24" s="29">
        <v>7629</v>
      </c>
      <c r="F24" s="29">
        <v>7063</v>
      </c>
      <c r="G24" s="29">
        <v>7063</v>
      </c>
      <c r="H24" s="29">
        <f t="shared" si="1"/>
        <v>1333</v>
      </c>
      <c r="I24" s="30">
        <f t="shared" si="2"/>
        <v>1.2326352530541012</v>
      </c>
    </row>
    <row r="25" spans="1:9" ht="17.25" customHeight="1" x14ac:dyDescent="0.25">
      <c r="A25" s="515">
        <v>4</v>
      </c>
      <c r="B25" s="28" t="s">
        <v>459</v>
      </c>
      <c r="C25" s="29"/>
      <c r="D25" s="29">
        <v>6774.31</v>
      </c>
      <c r="E25" s="29">
        <v>82508.383447999993</v>
      </c>
      <c r="F25" s="29"/>
      <c r="G25" s="29">
        <v>5355</v>
      </c>
      <c r="H25" s="29">
        <f t="shared" si="1"/>
        <v>-1419.3100000000004</v>
      </c>
      <c r="I25" s="30">
        <f t="shared" si="2"/>
        <v>0.79048641116217</v>
      </c>
    </row>
    <row r="26" spans="1:9" s="516" customFormat="1" ht="17.25" customHeight="1" x14ac:dyDescent="0.2">
      <c r="A26" s="24" t="s">
        <v>29</v>
      </c>
      <c r="B26" s="25" t="s">
        <v>202</v>
      </c>
      <c r="C26" s="26">
        <f>SUM(C27:C29)</f>
        <v>33171</v>
      </c>
      <c r="D26" s="26">
        <f>SUM(D27:D29)</f>
        <v>33171</v>
      </c>
      <c r="E26" s="26">
        <f>SUM(E27:E29)</f>
        <v>58336.36</v>
      </c>
      <c r="F26" s="26">
        <f>SUM(F27:F29)</f>
        <v>8098</v>
      </c>
      <c r="G26" s="26">
        <f>SUM(G27:G29)</f>
        <v>8098</v>
      </c>
      <c r="H26" s="26">
        <f>G26-E26</f>
        <v>-50238.36</v>
      </c>
      <c r="I26" s="27">
        <f>G26/E26</f>
        <v>0.13881565459346451</v>
      </c>
    </row>
    <row r="27" spans="1:9" x14ac:dyDescent="0.25">
      <c r="A27" s="515">
        <v>1</v>
      </c>
      <c r="B27" s="28" t="s">
        <v>460</v>
      </c>
      <c r="C27" s="29">
        <f>90+16873-6000</f>
        <v>10963</v>
      </c>
      <c r="D27" s="29">
        <f>90+16873-6000</f>
        <v>10963</v>
      </c>
      <c r="E27" s="29">
        <v>22594.9</v>
      </c>
      <c r="F27" s="29">
        <v>8098</v>
      </c>
      <c r="G27" s="29">
        <f>7978+120</f>
        <v>8098</v>
      </c>
      <c r="H27" s="29">
        <f t="shared" si="1"/>
        <v>-2865</v>
      </c>
      <c r="I27" s="30">
        <f t="shared" si="2"/>
        <v>0.73866642342424516</v>
      </c>
    </row>
    <row r="28" spans="1:9" ht="17.25" customHeight="1" x14ac:dyDescent="0.25">
      <c r="A28" s="515">
        <v>2</v>
      </c>
      <c r="B28" s="28" t="s">
        <v>461</v>
      </c>
      <c r="C28" s="29">
        <f>7669+14539</f>
        <v>22208</v>
      </c>
      <c r="D28" s="29">
        <f>7669+14539</f>
        <v>22208</v>
      </c>
      <c r="E28" s="29">
        <v>34442.21</v>
      </c>
      <c r="F28" s="29"/>
      <c r="G28" s="29"/>
      <c r="H28" s="29">
        <f t="shared" si="1"/>
        <v>-22208</v>
      </c>
      <c r="I28" s="30">
        <f t="shared" si="2"/>
        <v>0</v>
      </c>
    </row>
    <row r="29" spans="1:9" x14ac:dyDescent="0.25">
      <c r="A29" s="515">
        <v>3</v>
      </c>
      <c r="B29" s="28" t="s">
        <v>203</v>
      </c>
      <c r="C29" s="29">
        <v>0</v>
      </c>
      <c r="D29" s="29"/>
      <c r="E29" s="29">
        <v>1299.25</v>
      </c>
      <c r="F29" s="29"/>
      <c r="G29" s="29"/>
      <c r="H29" s="29">
        <f t="shared" si="1"/>
        <v>0</v>
      </c>
      <c r="I29" s="30"/>
    </row>
    <row r="30" spans="1:9" s="516" customFormat="1" ht="17.25" customHeight="1" x14ac:dyDescent="0.2">
      <c r="A30" s="35" t="s">
        <v>35</v>
      </c>
      <c r="B30" s="36" t="s">
        <v>34</v>
      </c>
      <c r="C30" s="37"/>
      <c r="D30" s="37"/>
      <c r="E30" s="37"/>
      <c r="F30" s="37"/>
      <c r="G30" s="37"/>
      <c r="H30" s="37">
        <f>G30-E30</f>
        <v>0</v>
      </c>
      <c r="I30" s="36"/>
    </row>
  </sheetData>
  <mergeCells count="10">
    <mergeCell ref="A1:B1"/>
    <mergeCell ref="E1:I1"/>
    <mergeCell ref="A2:I2"/>
    <mergeCell ref="E3:I3"/>
    <mergeCell ref="A4:A5"/>
    <mergeCell ref="B4:B5"/>
    <mergeCell ref="C4:D4"/>
    <mergeCell ref="E4:E5"/>
    <mergeCell ref="F4:G4"/>
    <mergeCell ref="H4:I4"/>
  </mergeCells>
  <printOptions horizontalCentered="1"/>
  <pageMargins left="0.31496062992125984" right="0.27559055118110237" top="0.31496062992125984" bottom="0.31496062992125984" header="0.31496062992125984" footer="0.31496062992125984"/>
  <pageSetup paperSize="9" scale="95" orientation="landscape"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31"/>
  <sheetViews>
    <sheetView workbookViewId="0">
      <selection activeCell="K1" sqref="K1"/>
    </sheetView>
  </sheetViews>
  <sheetFormatPr defaultRowHeight="15" x14ac:dyDescent="0.25"/>
  <cols>
    <col min="1" max="1" width="5.42578125" style="2" customWidth="1"/>
    <col min="2" max="2" width="21.28515625" style="2" customWidth="1"/>
    <col min="3" max="3" width="9.7109375" style="2" bestFit="1" customWidth="1"/>
    <col min="4" max="12" width="9.28515625" style="2" bestFit="1" customWidth="1"/>
    <col min="13" max="13" width="9.7109375" style="39" bestFit="1" customWidth="1"/>
    <col min="14" max="17" width="9.28515625" style="2" bestFit="1" customWidth="1"/>
    <col min="18" max="18" width="9.7109375" style="2" customWidth="1"/>
    <col min="19" max="16384" width="9.140625" style="2"/>
  </cols>
  <sheetData>
    <row r="1" spans="1:19" x14ac:dyDescent="0.25">
      <c r="A1" s="530" t="s">
        <v>178</v>
      </c>
      <c r="B1" s="530"/>
      <c r="C1" s="15"/>
      <c r="K1" s="15"/>
      <c r="P1" s="530" t="s">
        <v>108</v>
      </c>
      <c r="Q1" s="530"/>
      <c r="R1" s="530"/>
    </row>
    <row r="2" spans="1:19" x14ac:dyDescent="0.25">
      <c r="A2" s="530" t="s">
        <v>416</v>
      </c>
      <c r="B2" s="530"/>
      <c r="C2" s="530"/>
      <c r="D2" s="530"/>
      <c r="E2" s="530"/>
      <c r="F2" s="530"/>
      <c r="G2" s="530"/>
      <c r="H2" s="530"/>
      <c r="I2" s="530"/>
      <c r="J2" s="530"/>
      <c r="K2" s="530"/>
      <c r="L2" s="530"/>
      <c r="M2" s="530"/>
      <c r="N2" s="530"/>
      <c r="O2" s="530"/>
      <c r="P2" s="530"/>
      <c r="Q2" s="530"/>
      <c r="R2" s="530"/>
    </row>
    <row r="3" spans="1:19" x14ac:dyDescent="0.25">
      <c r="A3" s="63"/>
      <c r="C3" s="15"/>
      <c r="Q3" s="625" t="s">
        <v>42</v>
      </c>
      <c r="R3" s="625"/>
    </row>
    <row r="4" spans="1:19" x14ac:dyDescent="0.25">
      <c r="A4" s="624" t="s">
        <v>13</v>
      </c>
      <c r="B4" s="624" t="s">
        <v>52</v>
      </c>
      <c r="C4" s="624" t="s">
        <v>45</v>
      </c>
      <c r="D4" s="624" t="s">
        <v>316</v>
      </c>
      <c r="E4" s="624" t="s">
        <v>317</v>
      </c>
      <c r="F4" s="624" t="s">
        <v>318</v>
      </c>
      <c r="G4" s="624" t="s">
        <v>79</v>
      </c>
      <c r="H4" s="624" t="s">
        <v>195</v>
      </c>
      <c r="I4" s="624" t="s">
        <v>109</v>
      </c>
      <c r="J4" s="624" t="s">
        <v>319</v>
      </c>
      <c r="K4" s="624" t="s">
        <v>320</v>
      </c>
      <c r="L4" s="624" t="s">
        <v>321</v>
      </c>
      <c r="M4" s="624" t="s">
        <v>322</v>
      </c>
      <c r="N4" s="624" t="s">
        <v>111</v>
      </c>
      <c r="O4" s="624"/>
      <c r="P4" s="624" t="s">
        <v>95</v>
      </c>
      <c r="Q4" s="624" t="s">
        <v>323</v>
      </c>
      <c r="R4" s="624" t="s">
        <v>87</v>
      </c>
    </row>
    <row r="5" spans="1:19" ht="71.25" customHeight="1" x14ac:dyDescent="0.25">
      <c r="A5" s="624"/>
      <c r="B5" s="624"/>
      <c r="C5" s="624"/>
      <c r="D5" s="624"/>
      <c r="E5" s="624"/>
      <c r="F5" s="624"/>
      <c r="G5" s="624"/>
      <c r="H5" s="624"/>
      <c r="I5" s="624"/>
      <c r="J5" s="624"/>
      <c r="K5" s="624"/>
      <c r="L5" s="624"/>
      <c r="M5" s="624"/>
      <c r="N5" s="272" t="s">
        <v>112</v>
      </c>
      <c r="O5" s="272" t="s">
        <v>114</v>
      </c>
      <c r="P5" s="624"/>
      <c r="Q5" s="624"/>
      <c r="R5" s="624"/>
    </row>
    <row r="6" spans="1:19" x14ac:dyDescent="0.25">
      <c r="A6" s="272" t="s">
        <v>17</v>
      </c>
      <c r="B6" s="272" t="s">
        <v>18</v>
      </c>
      <c r="C6" s="272">
        <v>1</v>
      </c>
      <c r="D6" s="272">
        <v>2</v>
      </c>
      <c r="E6" s="272">
        <v>3</v>
      </c>
      <c r="F6" s="272">
        <v>4</v>
      </c>
      <c r="G6" s="272">
        <v>5</v>
      </c>
      <c r="H6" s="272">
        <v>6</v>
      </c>
      <c r="I6" s="272">
        <v>7</v>
      </c>
      <c r="J6" s="272">
        <v>8</v>
      </c>
      <c r="K6" s="272">
        <v>9</v>
      </c>
      <c r="L6" s="272">
        <v>10</v>
      </c>
      <c r="M6" s="272">
        <v>11</v>
      </c>
      <c r="N6" s="272">
        <v>12</v>
      </c>
      <c r="O6" s="272">
        <v>13</v>
      </c>
      <c r="P6" s="272">
        <v>14</v>
      </c>
      <c r="Q6" s="272">
        <v>15</v>
      </c>
      <c r="R6" s="272">
        <v>16</v>
      </c>
    </row>
    <row r="7" spans="1:19" x14ac:dyDescent="0.25">
      <c r="A7" s="273"/>
      <c r="B7" s="273" t="s">
        <v>45</v>
      </c>
      <c r="C7" s="274">
        <f>+C8+C10+C11+C12+C23</f>
        <v>104491</v>
      </c>
      <c r="D7" s="274">
        <f t="shared" ref="D7:R7" si="0">+D8+D10+D11+D12+D23</f>
        <v>5702</v>
      </c>
      <c r="E7" s="274">
        <f t="shared" si="0"/>
        <v>0</v>
      </c>
      <c r="F7" s="274">
        <f t="shared" si="0"/>
        <v>0</v>
      </c>
      <c r="G7" s="274">
        <f t="shared" si="0"/>
        <v>5700</v>
      </c>
      <c r="H7" s="274">
        <f t="shared" si="0"/>
        <v>0</v>
      </c>
      <c r="I7" s="274">
        <f t="shared" si="0"/>
        <v>0</v>
      </c>
      <c r="J7" s="274">
        <f t="shared" si="0"/>
        <v>0</v>
      </c>
      <c r="K7" s="274">
        <f t="shared" si="0"/>
        <v>0</v>
      </c>
      <c r="L7" s="274">
        <f t="shared" si="0"/>
        <v>0</v>
      </c>
      <c r="M7" s="274">
        <f>+M8+M10+M11+M12+M23</f>
        <v>93089</v>
      </c>
      <c r="N7" s="274">
        <f t="shared" si="0"/>
        <v>0</v>
      </c>
      <c r="O7" s="274">
        <f t="shared" si="0"/>
        <v>0</v>
      </c>
      <c r="P7" s="274">
        <f t="shared" si="0"/>
        <v>0</v>
      </c>
      <c r="Q7" s="274">
        <f t="shared" si="0"/>
        <v>0</v>
      </c>
      <c r="R7" s="274">
        <f t="shared" si="0"/>
        <v>0</v>
      </c>
    </row>
    <row r="8" spans="1:19" ht="30" x14ac:dyDescent="0.25">
      <c r="A8" s="280" t="s">
        <v>324</v>
      </c>
      <c r="B8" s="46" t="s">
        <v>325</v>
      </c>
      <c r="C8" s="278">
        <f>SUM(D8:R8)</f>
        <v>90332</v>
      </c>
      <c r="D8" s="278">
        <v>5702</v>
      </c>
      <c r="E8" s="278">
        <v>0</v>
      </c>
      <c r="F8" s="34">
        <v>0</v>
      </c>
      <c r="G8" s="278">
        <v>5700</v>
      </c>
      <c r="H8" s="278">
        <v>0</v>
      </c>
      <c r="I8" s="278">
        <v>0</v>
      </c>
      <c r="J8" s="278">
        <v>0</v>
      </c>
      <c r="K8" s="278"/>
      <c r="L8" s="278"/>
      <c r="M8" s="373">
        <v>78930</v>
      </c>
      <c r="N8" s="278"/>
      <c r="O8" s="278"/>
      <c r="P8" s="278"/>
      <c r="Q8" s="34">
        <v>0</v>
      </c>
      <c r="R8" s="278"/>
    </row>
    <row r="9" spans="1:19" x14ac:dyDescent="0.25">
      <c r="A9" s="280" t="s">
        <v>326</v>
      </c>
      <c r="B9" s="46" t="s">
        <v>390</v>
      </c>
      <c r="C9" s="278">
        <f>SUM(D9:R9)</f>
        <v>6200</v>
      </c>
      <c r="D9" s="278"/>
      <c r="E9" s="278"/>
      <c r="F9" s="34"/>
      <c r="G9" s="278"/>
      <c r="H9" s="278"/>
      <c r="I9" s="278"/>
      <c r="J9" s="278"/>
      <c r="K9" s="278"/>
      <c r="L9" s="278"/>
      <c r="M9" s="373"/>
      <c r="N9" s="278"/>
      <c r="O9" s="278"/>
      <c r="P9" s="278">
        <v>6200</v>
      </c>
      <c r="Q9" s="34"/>
      <c r="R9" s="278"/>
      <c r="S9" s="15"/>
    </row>
    <row r="10" spans="1:19" ht="30" x14ac:dyDescent="0.25">
      <c r="A10" s="280" t="s">
        <v>327</v>
      </c>
      <c r="B10" s="46" t="s">
        <v>438</v>
      </c>
      <c r="C10" s="278">
        <f>SUM(D10:R10)</f>
        <v>0</v>
      </c>
      <c r="D10" s="278"/>
      <c r="E10" s="278"/>
      <c r="F10" s="34"/>
      <c r="G10" s="278"/>
      <c r="H10" s="278"/>
      <c r="I10" s="278"/>
      <c r="J10" s="278"/>
      <c r="K10" s="278"/>
      <c r="L10" s="278"/>
      <c r="M10" s="373"/>
      <c r="N10" s="278"/>
      <c r="O10" s="278"/>
      <c r="P10" s="278"/>
      <c r="Q10" s="34"/>
      <c r="R10" s="278"/>
    </row>
    <row r="11" spans="1:19" x14ac:dyDescent="0.25">
      <c r="A11" s="280" t="s">
        <v>329</v>
      </c>
      <c r="B11" s="46" t="s">
        <v>328</v>
      </c>
      <c r="C11" s="278">
        <f>SUM(D11:R11)</f>
        <v>3098</v>
      </c>
      <c r="D11" s="278"/>
      <c r="E11" s="278"/>
      <c r="F11" s="278"/>
      <c r="G11" s="278"/>
      <c r="H11" s="278"/>
      <c r="I11" s="278"/>
      <c r="J11" s="278"/>
      <c r="K11" s="278"/>
      <c r="L11" s="278"/>
      <c r="M11" s="278">
        <f>1271+1827</f>
        <v>3098</v>
      </c>
      <c r="N11" s="278"/>
      <c r="O11" s="278"/>
      <c r="P11" s="278"/>
      <c r="Q11" s="278"/>
      <c r="R11" s="278"/>
      <c r="S11" s="374"/>
    </row>
    <row r="12" spans="1:19" x14ac:dyDescent="0.25">
      <c r="A12" s="280" t="s">
        <v>331</v>
      </c>
      <c r="B12" s="46" t="s">
        <v>330</v>
      </c>
      <c r="C12" s="278">
        <f>SUM(C13:C22)</f>
        <v>8640</v>
      </c>
      <c r="D12" s="278">
        <f t="shared" ref="D12:R12" si="1">SUM(D13:D22)</f>
        <v>0</v>
      </c>
      <c r="E12" s="278">
        <f t="shared" si="1"/>
        <v>0</v>
      </c>
      <c r="F12" s="278">
        <f t="shared" si="1"/>
        <v>0</v>
      </c>
      <c r="G12" s="278">
        <f t="shared" si="1"/>
        <v>0</v>
      </c>
      <c r="H12" s="278">
        <f t="shared" si="1"/>
        <v>0</v>
      </c>
      <c r="I12" s="278">
        <f t="shared" si="1"/>
        <v>0</v>
      </c>
      <c r="J12" s="278">
        <f t="shared" si="1"/>
        <v>0</v>
      </c>
      <c r="K12" s="278">
        <f t="shared" si="1"/>
        <v>0</v>
      </c>
      <c r="L12" s="278">
        <f t="shared" si="1"/>
        <v>0</v>
      </c>
      <c r="M12" s="278">
        <f t="shared" si="1"/>
        <v>8640</v>
      </c>
      <c r="N12" s="278">
        <f t="shared" si="1"/>
        <v>0</v>
      </c>
      <c r="O12" s="278">
        <f t="shared" si="1"/>
        <v>0</v>
      </c>
      <c r="P12" s="278">
        <f t="shared" si="1"/>
        <v>0</v>
      </c>
      <c r="Q12" s="278">
        <f t="shared" si="1"/>
        <v>0</v>
      </c>
      <c r="R12" s="278">
        <f t="shared" si="1"/>
        <v>0</v>
      </c>
      <c r="S12" s="15"/>
    </row>
    <row r="13" spans="1:19" x14ac:dyDescent="0.25">
      <c r="A13" s="375" t="s">
        <v>23</v>
      </c>
      <c r="B13" s="46" t="str">
        <f>+'[3]Bieu 02. Chi tiet CĐNSĐP 2019'!B68</f>
        <v>Thị trấn</v>
      </c>
      <c r="C13" s="278">
        <f t="shared" ref="C13:C23" si="2">SUM(D13:M13,P13,Q13,R13)</f>
        <v>3500</v>
      </c>
      <c r="D13" s="278"/>
      <c r="E13" s="278"/>
      <c r="F13" s="278"/>
      <c r="G13" s="278"/>
      <c r="H13" s="278"/>
      <c r="I13" s="278"/>
      <c r="J13" s="278"/>
      <c r="K13" s="278"/>
      <c r="L13" s="278"/>
      <c r="M13" s="278">
        <v>3500</v>
      </c>
      <c r="N13" s="278"/>
      <c r="O13" s="278"/>
      <c r="P13" s="278"/>
      <c r="Q13" s="278"/>
      <c r="R13" s="278"/>
    </row>
    <row r="14" spans="1:19" x14ac:dyDescent="0.25">
      <c r="A14" s="375" t="s">
        <v>23</v>
      </c>
      <c r="B14" s="46" t="str">
        <f>+'[3]Bieu 02. Chi tiet CĐNSĐP 2019'!B69</f>
        <v>Sa Nghĩa</v>
      </c>
      <c r="C14" s="278">
        <f t="shared" si="2"/>
        <v>10</v>
      </c>
      <c r="D14" s="278"/>
      <c r="E14" s="278"/>
      <c r="F14" s="278"/>
      <c r="G14" s="278"/>
      <c r="H14" s="278"/>
      <c r="I14" s="278"/>
      <c r="J14" s="278"/>
      <c r="K14" s="278"/>
      <c r="L14" s="278"/>
      <c r="M14" s="278">
        <v>10</v>
      </c>
      <c r="N14" s="278"/>
      <c r="O14" s="278"/>
      <c r="P14" s="278"/>
      <c r="Q14" s="278"/>
      <c r="R14" s="278"/>
    </row>
    <row r="15" spans="1:19" x14ac:dyDescent="0.25">
      <c r="A15" s="375" t="s">
        <v>23</v>
      </c>
      <c r="B15" s="46" t="str">
        <f>+'[3]Bieu 02. Chi tiet CĐNSĐP 2019'!B70</f>
        <v>Sa Bình</v>
      </c>
      <c r="C15" s="278">
        <f t="shared" si="2"/>
        <v>20</v>
      </c>
      <c r="D15" s="278"/>
      <c r="E15" s="278"/>
      <c r="F15" s="278"/>
      <c r="G15" s="278"/>
      <c r="H15" s="278"/>
      <c r="I15" s="278"/>
      <c r="J15" s="278"/>
      <c r="K15" s="278"/>
      <c r="L15" s="278"/>
      <c r="M15" s="278">
        <v>20</v>
      </c>
      <c r="N15" s="278"/>
      <c r="O15" s="278"/>
      <c r="P15" s="278"/>
      <c r="Q15" s="278"/>
      <c r="R15" s="278"/>
    </row>
    <row r="16" spans="1:19" x14ac:dyDescent="0.25">
      <c r="A16" s="375" t="s">
        <v>23</v>
      </c>
      <c r="B16" s="46" t="str">
        <f>+'[3]Bieu 02. Chi tiet CĐNSĐP 2019'!B71</f>
        <v>Sa Sơn</v>
      </c>
      <c r="C16" s="278">
        <f t="shared" si="2"/>
        <v>10</v>
      </c>
      <c r="D16" s="278"/>
      <c r="E16" s="278"/>
      <c r="F16" s="278"/>
      <c r="G16" s="278"/>
      <c r="H16" s="278"/>
      <c r="I16" s="278"/>
      <c r="J16" s="278"/>
      <c r="K16" s="278"/>
      <c r="L16" s="278"/>
      <c r="M16" s="278">
        <v>10</v>
      </c>
      <c r="N16" s="278"/>
      <c r="O16" s="278"/>
      <c r="P16" s="278"/>
      <c r="Q16" s="278"/>
      <c r="R16" s="278"/>
    </row>
    <row r="17" spans="1:18" x14ac:dyDescent="0.25">
      <c r="A17" s="375" t="s">
        <v>23</v>
      </c>
      <c r="B17" s="46" t="str">
        <f>+'[3]Bieu 02. Chi tiet CĐNSĐP 2019'!B72</f>
        <v>Sa Nhơn</v>
      </c>
      <c r="C17" s="278">
        <f t="shared" si="2"/>
        <v>10</v>
      </c>
      <c r="D17" s="278"/>
      <c r="E17" s="278"/>
      <c r="F17" s="278"/>
      <c r="G17" s="278"/>
      <c r="H17" s="278"/>
      <c r="I17" s="278"/>
      <c r="J17" s="278"/>
      <c r="K17" s="278"/>
      <c r="L17" s="278"/>
      <c r="M17" s="278">
        <v>10</v>
      </c>
      <c r="N17" s="278"/>
      <c r="O17" s="278"/>
      <c r="P17" s="278"/>
      <c r="Q17" s="278"/>
      <c r="R17" s="278"/>
    </row>
    <row r="18" spans="1:18" x14ac:dyDescent="0.25">
      <c r="A18" s="375" t="s">
        <v>23</v>
      </c>
      <c r="B18" s="46" t="str">
        <f>+'[3]Bieu 02. Chi tiet CĐNSĐP 2019'!B73</f>
        <v>Ya Ly</v>
      </c>
      <c r="C18" s="278">
        <f t="shared" si="2"/>
        <v>65</v>
      </c>
      <c r="D18" s="278"/>
      <c r="E18" s="278"/>
      <c r="F18" s="278"/>
      <c r="G18" s="278"/>
      <c r="H18" s="278"/>
      <c r="I18" s="278"/>
      <c r="J18" s="278"/>
      <c r="K18" s="278"/>
      <c r="L18" s="278"/>
      <c r="M18" s="278">
        <v>65</v>
      </c>
      <c r="N18" s="278"/>
      <c r="O18" s="278"/>
      <c r="P18" s="278"/>
      <c r="Q18" s="278"/>
      <c r="R18" s="278"/>
    </row>
    <row r="19" spans="1:18" x14ac:dyDescent="0.25">
      <c r="A19" s="375" t="s">
        <v>23</v>
      </c>
      <c r="B19" s="46" t="str">
        <f>+'[3]Bieu 02. Chi tiet CĐNSĐP 2019'!B74</f>
        <v xml:space="preserve">Ya Xiêr </v>
      </c>
      <c r="C19" s="278">
        <f t="shared" si="2"/>
        <v>10</v>
      </c>
      <c r="D19" s="278"/>
      <c r="E19" s="278"/>
      <c r="F19" s="278"/>
      <c r="G19" s="278"/>
      <c r="H19" s="278"/>
      <c r="I19" s="278"/>
      <c r="J19" s="278"/>
      <c r="K19" s="278"/>
      <c r="L19" s="278"/>
      <c r="M19" s="278">
        <v>10</v>
      </c>
      <c r="N19" s="278"/>
      <c r="O19" s="278"/>
      <c r="P19" s="278"/>
      <c r="Q19" s="278"/>
      <c r="R19" s="278"/>
    </row>
    <row r="20" spans="1:18" x14ac:dyDescent="0.25">
      <c r="A20" s="375" t="s">
        <v>23</v>
      </c>
      <c r="B20" s="46" t="str">
        <f>+'[3]Bieu 02. Chi tiet CĐNSĐP 2019'!B75</f>
        <v>Rờ Kơi</v>
      </c>
      <c r="C20" s="278">
        <f t="shared" si="2"/>
        <v>5</v>
      </c>
      <c r="D20" s="278"/>
      <c r="E20" s="278"/>
      <c r="F20" s="278"/>
      <c r="G20" s="278"/>
      <c r="H20" s="278"/>
      <c r="I20" s="278"/>
      <c r="J20" s="278"/>
      <c r="K20" s="278"/>
      <c r="L20" s="278"/>
      <c r="M20" s="278">
        <v>5</v>
      </c>
      <c r="N20" s="278"/>
      <c r="O20" s="278"/>
      <c r="P20" s="278"/>
      <c r="Q20" s="278"/>
      <c r="R20" s="278"/>
    </row>
    <row r="21" spans="1:18" x14ac:dyDescent="0.25">
      <c r="A21" s="375" t="s">
        <v>23</v>
      </c>
      <c r="B21" s="46" t="str">
        <f>+'[3]Bieu 02. Chi tiet CĐNSĐP 2019'!B76</f>
        <v>Mô Rai</v>
      </c>
      <c r="C21" s="278">
        <f t="shared" si="2"/>
        <v>5000</v>
      </c>
      <c r="D21" s="278"/>
      <c r="E21" s="278"/>
      <c r="F21" s="278"/>
      <c r="G21" s="278"/>
      <c r="H21" s="278"/>
      <c r="I21" s="278"/>
      <c r="J21" s="278"/>
      <c r="K21" s="278"/>
      <c r="L21" s="278"/>
      <c r="M21" s="278">
        <v>5000</v>
      </c>
      <c r="N21" s="278"/>
      <c r="O21" s="278"/>
      <c r="P21" s="278"/>
      <c r="Q21" s="278"/>
      <c r="R21" s="278"/>
    </row>
    <row r="22" spans="1:18" x14ac:dyDescent="0.25">
      <c r="A22" s="375" t="s">
        <v>23</v>
      </c>
      <c r="B22" s="46" t="str">
        <f>+'[3]Bieu 02. Chi tiet CĐNSĐP 2019'!B77</f>
        <v>Hơ Moong</v>
      </c>
      <c r="C22" s="278">
        <f t="shared" si="2"/>
        <v>10</v>
      </c>
      <c r="D22" s="278"/>
      <c r="E22" s="278"/>
      <c r="F22" s="278"/>
      <c r="G22" s="278"/>
      <c r="H22" s="278"/>
      <c r="I22" s="278"/>
      <c r="J22" s="278"/>
      <c r="K22" s="278"/>
      <c r="L22" s="278"/>
      <c r="M22" s="278">
        <v>10</v>
      </c>
      <c r="N22" s="278"/>
      <c r="O22" s="278"/>
      <c r="P22" s="278"/>
      <c r="Q22" s="278"/>
      <c r="R22" s="278"/>
    </row>
    <row r="23" spans="1:18" ht="30" x14ac:dyDescent="0.25">
      <c r="A23" s="376">
        <v>5</v>
      </c>
      <c r="B23" s="377" t="s">
        <v>349</v>
      </c>
      <c r="C23" s="378">
        <f t="shared" si="2"/>
        <v>2421</v>
      </c>
      <c r="D23" s="378"/>
      <c r="E23" s="378"/>
      <c r="F23" s="378"/>
      <c r="G23" s="378"/>
      <c r="H23" s="378"/>
      <c r="I23" s="378"/>
      <c r="J23" s="378"/>
      <c r="K23" s="378"/>
      <c r="L23" s="378"/>
      <c r="M23" s="378">
        <v>2421</v>
      </c>
      <c r="N23" s="378"/>
      <c r="O23" s="378"/>
      <c r="P23" s="378"/>
      <c r="Q23" s="378"/>
      <c r="R23" s="378"/>
    </row>
    <row r="24" spans="1:18" x14ac:dyDescent="0.25">
      <c r="A24" s="235"/>
    </row>
    <row r="25" spans="1:18" x14ac:dyDescent="0.25">
      <c r="A25" s="235"/>
    </row>
    <row r="26" spans="1:18" x14ac:dyDescent="0.25">
      <c r="A26" s="235"/>
    </row>
    <row r="27" spans="1:18" x14ac:dyDescent="0.25">
      <c r="A27" s="235"/>
    </row>
    <row r="28" spans="1:18" x14ac:dyDescent="0.25">
      <c r="A28" s="235"/>
    </row>
    <row r="29" spans="1:18" x14ac:dyDescent="0.25">
      <c r="A29" s="235"/>
    </row>
    <row r="30" spans="1:18" x14ac:dyDescent="0.25">
      <c r="A30" s="235"/>
    </row>
    <row r="31" spans="1:18" x14ac:dyDescent="0.25">
      <c r="A31" s="235"/>
    </row>
  </sheetData>
  <mergeCells count="21">
    <mergeCell ref="A1:B1"/>
    <mergeCell ref="M4:M5"/>
    <mergeCell ref="N4:O4"/>
    <mergeCell ref="P4:P5"/>
    <mergeCell ref="P1:R1"/>
    <mergeCell ref="A2:R2"/>
    <mergeCell ref="J4:J5"/>
    <mergeCell ref="K4:K5"/>
    <mergeCell ref="Q4:Q5"/>
    <mergeCell ref="L4:L5"/>
    <mergeCell ref="R4:R5"/>
    <mergeCell ref="Q3:R3"/>
    <mergeCell ref="A4:A5"/>
    <mergeCell ref="B4:B5"/>
    <mergeCell ref="H4:H5"/>
    <mergeCell ref="I4:I5"/>
    <mergeCell ref="C4:C5"/>
    <mergeCell ref="D4:D5"/>
    <mergeCell ref="E4:E5"/>
    <mergeCell ref="F4:F5"/>
    <mergeCell ref="G4:G5"/>
  </mergeCells>
  <phoneticPr fontId="16" type="noConversion"/>
  <printOptions horizontalCentered="1"/>
  <pageMargins left="0.27559055118110237" right="0.27559055118110237" top="0.39370078740157483" bottom="0.19685039370078741" header="0.31496062992125984" footer="0.19685039370078741"/>
  <pageSetup paperSize="9"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67"/>
  <sheetViews>
    <sheetView workbookViewId="0">
      <selection sqref="A1:R63"/>
    </sheetView>
  </sheetViews>
  <sheetFormatPr defaultRowHeight="15" x14ac:dyDescent="0.25"/>
  <cols>
    <col min="1" max="1" width="5" style="69" customWidth="1"/>
    <col min="2" max="2" width="25.85546875" style="69" customWidth="1"/>
    <col min="3" max="3" width="11" style="69" customWidth="1"/>
    <col min="4" max="4" width="10.7109375" style="69" customWidth="1"/>
    <col min="5" max="5" width="10.5703125" style="69" bestFit="1" customWidth="1"/>
    <col min="6" max="6" width="10.42578125" style="69" customWidth="1"/>
    <col min="7" max="7" width="8.7109375" style="69" customWidth="1"/>
    <col min="8" max="8" width="7.7109375" style="69" customWidth="1"/>
    <col min="9" max="10" width="9.7109375" style="69" bestFit="1" customWidth="1"/>
    <col min="11" max="11" width="9.28515625" style="69" bestFit="1" customWidth="1"/>
    <col min="12" max="12" width="9.7109375" style="69" bestFit="1" customWidth="1"/>
    <col min="13" max="13" width="10.28515625" style="69" customWidth="1"/>
    <col min="14" max="14" width="9" style="69" customWidth="1"/>
    <col min="15" max="15" width="8.85546875" style="69" customWidth="1"/>
    <col min="16" max="16" width="11.5703125" style="69" customWidth="1"/>
    <col min="17" max="17" width="9.42578125" style="69" customWidth="1"/>
    <col min="18" max="18" width="11.85546875" style="69" customWidth="1"/>
    <col min="19" max="16384" width="9.140625" style="69"/>
  </cols>
  <sheetData>
    <row r="1" spans="1:18" x14ac:dyDescent="0.25">
      <c r="A1" s="626" t="s">
        <v>178</v>
      </c>
      <c r="B1" s="626"/>
      <c r="Q1" s="135" t="s">
        <v>113</v>
      </c>
    </row>
    <row r="2" spans="1:18" x14ac:dyDescent="0.25">
      <c r="A2" s="626" t="s">
        <v>417</v>
      </c>
      <c r="B2" s="626"/>
      <c r="C2" s="626"/>
      <c r="D2" s="626"/>
      <c r="E2" s="626"/>
      <c r="F2" s="626"/>
      <c r="G2" s="626"/>
      <c r="H2" s="626"/>
      <c r="I2" s="626"/>
      <c r="J2" s="626"/>
      <c r="K2" s="626"/>
      <c r="L2" s="626"/>
      <c r="M2" s="626"/>
      <c r="N2" s="626"/>
      <c r="O2" s="626"/>
      <c r="P2" s="626"/>
      <c r="Q2" s="626"/>
      <c r="R2" s="626"/>
    </row>
    <row r="3" spans="1:18" x14ac:dyDescent="0.25">
      <c r="A3" s="136"/>
      <c r="B3" s="137"/>
      <c r="C3" s="138"/>
      <c r="D3" s="138"/>
      <c r="E3" s="137"/>
      <c r="F3" s="138"/>
      <c r="G3" s="138"/>
      <c r="N3" s="139"/>
      <c r="O3" s="140"/>
      <c r="Q3" s="136" t="s">
        <v>42</v>
      </c>
    </row>
    <row r="4" spans="1:18" x14ac:dyDescent="0.25">
      <c r="A4" s="627" t="s">
        <v>13</v>
      </c>
      <c r="B4" s="627" t="s">
        <v>52</v>
      </c>
      <c r="C4" s="627" t="s">
        <v>45</v>
      </c>
      <c r="D4" s="627" t="s">
        <v>63</v>
      </c>
      <c r="E4" s="627" t="s">
        <v>64</v>
      </c>
      <c r="F4" s="627" t="s">
        <v>78</v>
      </c>
      <c r="G4" s="627" t="s">
        <v>79</v>
      </c>
      <c r="H4" s="627" t="s">
        <v>2</v>
      </c>
      <c r="I4" s="627" t="s">
        <v>80</v>
      </c>
      <c r="J4" s="627" t="s">
        <v>81</v>
      </c>
      <c r="K4" s="627" t="s">
        <v>82</v>
      </c>
      <c r="L4" s="627" t="s">
        <v>110</v>
      </c>
      <c r="M4" s="627" t="s">
        <v>84</v>
      </c>
      <c r="N4" s="627" t="s">
        <v>111</v>
      </c>
      <c r="O4" s="627"/>
      <c r="P4" s="627" t="s">
        <v>95</v>
      </c>
      <c r="Q4" s="627" t="s">
        <v>86</v>
      </c>
      <c r="R4" s="627" t="s">
        <v>96</v>
      </c>
    </row>
    <row r="5" spans="1:18" ht="99.75" x14ac:dyDescent="0.25">
      <c r="A5" s="627"/>
      <c r="B5" s="627"/>
      <c r="C5" s="627"/>
      <c r="D5" s="627"/>
      <c r="E5" s="627"/>
      <c r="F5" s="627"/>
      <c r="G5" s="627"/>
      <c r="H5" s="627"/>
      <c r="I5" s="627"/>
      <c r="J5" s="627"/>
      <c r="K5" s="627"/>
      <c r="L5" s="627"/>
      <c r="M5" s="627"/>
      <c r="N5" s="141" t="s">
        <v>112</v>
      </c>
      <c r="O5" s="141" t="s">
        <v>114</v>
      </c>
      <c r="P5" s="627"/>
      <c r="Q5" s="627"/>
      <c r="R5" s="627"/>
    </row>
    <row r="6" spans="1:18" x14ac:dyDescent="0.25">
      <c r="A6" s="142" t="s">
        <v>17</v>
      </c>
      <c r="B6" s="142" t="s">
        <v>18</v>
      </c>
      <c r="C6" s="143">
        <v>1</v>
      </c>
      <c r="D6" s="143">
        <v>2</v>
      </c>
      <c r="E6" s="142">
        <v>3</v>
      </c>
      <c r="F6" s="142">
        <v>4</v>
      </c>
      <c r="G6" s="142">
        <v>5</v>
      </c>
      <c r="H6" s="142">
        <v>6</v>
      </c>
      <c r="I6" s="142">
        <v>7</v>
      </c>
      <c r="J6" s="142">
        <v>8</v>
      </c>
      <c r="K6" s="142">
        <v>9</v>
      </c>
      <c r="L6" s="142">
        <v>10</v>
      </c>
      <c r="M6" s="142">
        <v>11</v>
      </c>
      <c r="N6" s="142">
        <v>12</v>
      </c>
      <c r="O6" s="142">
        <v>13</v>
      </c>
      <c r="P6" s="142">
        <v>14</v>
      </c>
      <c r="Q6" s="142">
        <v>15</v>
      </c>
      <c r="R6" s="142">
        <v>16</v>
      </c>
    </row>
    <row r="7" spans="1:18" x14ac:dyDescent="0.25">
      <c r="A7" s="144"/>
      <c r="B7" s="145" t="s">
        <v>57</v>
      </c>
      <c r="C7" s="146">
        <f>C8+C23+C31+C40+C51+C63</f>
        <v>335917.74899999995</v>
      </c>
      <c r="D7" s="146">
        <f t="shared" ref="D7:R7" si="0">D8+D23+D31+D40+D51+D63</f>
        <v>196470</v>
      </c>
      <c r="E7" s="146">
        <f t="shared" si="0"/>
        <v>150</v>
      </c>
      <c r="F7" s="146">
        <f t="shared" si="0"/>
        <v>2266.7730000000001</v>
      </c>
      <c r="G7" s="146">
        <f t="shared" si="0"/>
        <v>1790</v>
      </c>
      <c r="H7" s="146">
        <f t="shared" si="0"/>
        <v>941</v>
      </c>
      <c r="I7" s="146">
        <f t="shared" si="0"/>
        <v>1432</v>
      </c>
      <c r="J7" s="146">
        <f t="shared" si="0"/>
        <v>1068</v>
      </c>
      <c r="K7" s="146">
        <f t="shared" si="0"/>
        <v>303</v>
      </c>
      <c r="L7" s="146">
        <f t="shared" si="0"/>
        <v>5429</v>
      </c>
      <c r="M7" s="146">
        <f t="shared" si="0"/>
        <v>15195.412</v>
      </c>
      <c r="N7" s="146">
        <f t="shared" si="0"/>
        <v>7525</v>
      </c>
      <c r="O7" s="146">
        <f t="shared" si="0"/>
        <v>1670</v>
      </c>
      <c r="P7" s="146">
        <f t="shared" si="0"/>
        <v>91931.784</v>
      </c>
      <c r="Q7" s="146">
        <f t="shared" si="0"/>
        <v>16244.78</v>
      </c>
      <c r="R7" s="146">
        <f t="shared" si="0"/>
        <v>2696</v>
      </c>
    </row>
    <row r="8" spans="1:18" x14ac:dyDescent="0.25">
      <c r="A8" s="147" t="s">
        <v>19</v>
      </c>
      <c r="B8" s="148" t="s">
        <v>339</v>
      </c>
      <c r="C8" s="149">
        <f>SUM(C9:C22)</f>
        <v>230502.60499999998</v>
      </c>
      <c r="D8" s="149">
        <f t="shared" ref="D8:R8" si="1">SUM(D9:D22)</f>
        <v>194315.48</v>
      </c>
      <c r="E8" s="149">
        <f t="shared" si="1"/>
        <v>150</v>
      </c>
      <c r="F8" s="149">
        <f t="shared" si="1"/>
        <v>0</v>
      </c>
      <c r="G8" s="149">
        <f t="shared" si="1"/>
        <v>0</v>
      </c>
      <c r="H8" s="149">
        <f t="shared" si="1"/>
        <v>941</v>
      </c>
      <c r="I8" s="149">
        <f t="shared" si="1"/>
        <v>190</v>
      </c>
      <c r="J8" s="149">
        <f t="shared" si="1"/>
        <v>0</v>
      </c>
      <c r="K8" s="149">
        <f t="shared" si="1"/>
        <v>0</v>
      </c>
      <c r="L8" s="149">
        <f t="shared" si="1"/>
        <v>50</v>
      </c>
      <c r="M8" s="149">
        <f t="shared" si="1"/>
        <v>1510</v>
      </c>
      <c r="N8" s="149">
        <f t="shared" si="1"/>
        <v>0</v>
      </c>
      <c r="O8" s="149">
        <f t="shared" si="1"/>
        <v>0</v>
      </c>
      <c r="P8" s="149">
        <f t="shared" si="1"/>
        <v>16551.344999999998</v>
      </c>
      <c r="Q8" s="149">
        <f t="shared" si="1"/>
        <v>16244.78</v>
      </c>
      <c r="R8" s="149">
        <f t="shared" si="1"/>
        <v>550</v>
      </c>
    </row>
    <row r="9" spans="1:18" x14ac:dyDescent="0.25">
      <c r="A9" s="150">
        <v>1</v>
      </c>
      <c r="B9" s="151" t="s">
        <v>259</v>
      </c>
      <c r="C9" s="127">
        <f>SUM(D9:R9)-N9-O9</f>
        <v>6331.6819999999998</v>
      </c>
      <c r="D9" s="127"/>
      <c r="E9" s="127"/>
      <c r="F9" s="127"/>
      <c r="G9" s="127"/>
      <c r="H9" s="127"/>
      <c r="I9" s="127"/>
      <c r="J9" s="127"/>
      <c r="K9" s="127"/>
      <c r="L9" s="127"/>
      <c r="M9" s="127">
        <v>100</v>
      </c>
      <c r="N9" s="127"/>
      <c r="O9" s="127"/>
      <c r="P9" s="127">
        <f>1437.612+4794.07</f>
        <v>6231.6819999999998</v>
      </c>
      <c r="Q9" s="127"/>
      <c r="R9" s="127"/>
    </row>
    <row r="10" spans="1:18" x14ac:dyDescent="0.25">
      <c r="A10" s="150">
        <v>2</v>
      </c>
      <c r="B10" s="151" t="s">
        <v>260</v>
      </c>
      <c r="C10" s="127">
        <f t="shared" ref="C10:C21" si="2">SUM(D10:R10)-N10-O10</f>
        <v>962.80700000000002</v>
      </c>
      <c r="D10" s="127"/>
      <c r="E10" s="127"/>
      <c r="F10" s="127"/>
      <c r="G10" s="127"/>
      <c r="H10" s="127"/>
      <c r="I10" s="127"/>
      <c r="J10" s="127"/>
      <c r="K10" s="127"/>
      <c r="L10" s="127"/>
      <c r="M10" s="127"/>
      <c r="N10" s="127"/>
      <c r="O10" s="127"/>
      <c r="P10" s="127">
        <f>962.807</f>
        <v>962.80700000000002</v>
      </c>
      <c r="Q10" s="127"/>
      <c r="R10" s="127"/>
    </row>
    <row r="11" spans="1:18" x14ac:dyDescent="0.25">
      <c r="A11" s="150">
        <v>3</v>
      </c>
      <c r="B11" s="151" t="s">
        <v>261</v>
      </c>
      <c r="C11" s="127">
        <f t="shared" si="2"/>
        <v>912.13</v>
      </c>
      <c r="D11" s="127"/>
      <c r="E11" s="127"/>
      <c r="F11" s="127"/>
      <c r="G11" s="127"/>
      <c r="H11" s="127"/>
      <c r="I11" s="127"/>
      <c r="J11" s="127"/>
      <c r="K11" s="127"/>
      <c r="L11" s="127"/>
      <c r="M11" s="127"/>
      <c r="N11" s="127"/>
      <c r="O11" s="127"/>
      <c r="P11" s="127">
        <f>912.13</f>
        <v>912.13</v>
      </c>
      <c r="Q11" s="127"/>
      <c r="R11" s="127"/>
    </row>
    <row r="12" spans="1:18" x14ac:dyDescent="0.25">
      <c r="A12" s="150">
        <v>4</v>
      </c>
      <c r="B12" s="151" t="s">
        <v>262</v>
      </c>
      <c r="C12" s="127">
        <f t="shared" si="2"/>
        <v>2142.4580000000001</v>
      </c>
      <c r="D12" s="127"/>
      <c r="E12" s="127">
        <v>150</v>
      </c>
      <c r="F12" s="127"/>
      <c r="G12" s="127"/>
      <c r="H12" s="127"/>
      <c r="I12" s="127"/>
      <c r="J12" s="127"/>
      <c r="K12" s="127"/>
      <c r="L12" s="127"/>
      <c r="M12" s="127">
        <f>150+1260</f>
        <v>1410</v>
      </c>
      <c r="N12" s="127"/>
      <c r="O12" s="127"/>
      <c r="P12" s="127">
        <f>582.458</f>
        <v>582.45799999999997</v>
      </c>
      <c r="Q12" s="127"/>
      <c r="R12" s="127"/>
    </row>
    <row r="13" spans="1:18" x14ac:dyDescent="0.25">
      <c r="A13" s="150">
        <v>5</v>
      </c>
      <c r="B13" s="151" t="s">
        <v>263</v>
      </c>
      <c r="C13" s="127">
        <f t="shared" si="2"/>
        <v>1203.2909999999999</v>
      </c>
      <c r="D13" s="127"/>
      <c r="E13" s="127"/>
      <c r="F13" s="127"/>
      <c r="G13" s="127"/>
      <c r="H13" s="127"/>
      <c r="I13" s="127"/>
      <c r="J13" s="127"/>
      <c r="K13" s="127"/>
      <c r="L13" s="127"/>
      <c r="M13" s="127"/>
      <c r="N13" s="127"/>
      <c r="O13" s="127"/>
      <c r="P13" s="127">
        <f>1203.291</f>
        <v>1203.2909999999999</v>
      </c>
      <c r="Q13" s="127"/>
      <c r="R13" s="127"/>
    </row>
    <row r="14" spans="1:18" x14ac:dyDescent="0.25">
      <c r="A14" s="150">
        <v>6</v>
      </c>
      <c r="B14" s="151" t="s">
        <v>264</v>
      </c>
      <c r="C14" s="127">
        <f t="shared" si="2"/>
        <v>195158.2</v>
      </c>
      <c r="D14" s="127">
        <f>194315.48-91</f>
        <v>194224.48</v>
      </c>
      <c r="E14" s="127"/>
      <c r="F14" s="127"/>
      <c r="G14" s="127"/>
      <c r="H14" s="127"/>
      <c r="I14" s="127"/>
      <c r="J14" s="127"/>
      <c r="K14" s="127"/>
      <c r="L14" s="127"/>
      <c r="M14" s="127"/>
      <c r="N14" s="127"/>
      <c r="O14" s="127"/>
      <c r="P14" s="127">
        <v>933.72</v>
      </c>
      <c r="Q14" s="127"/>
      <c r="R14" s="127"/>
    </row>
    <row r="15" spans="1:18" x14ac:dyDescent="0.25">
      <c r="A15" s="150">
        <v>7</v>
      </c>
      <c r="B15" s="151" t="s">
        <v>265</v>
      </c>
      <c r="C15" s="127">
        <f t="shared" si="2"/>
        <v>439.96800000000002</v>
      </c>
      <c r="D15" s="127"/>
      <c r="E15" s="127"/>
      <c r="F15" s="127"/>
      <c r="G15" s="127"/>
      <c r="H15" s="127"/>
      <c r="I15" s="127"/>
      <c r="J15" s="127"/>
      <c r="K15" s="127"/>
      <c r="L15" s="127"/>
      <c r="M15" s="127"/>
      <c r="N15" s="127"/>
      <c r="O15" s="127"/>
      <c r="P15" s="127">
        <v>439.96800000000002</v>
      </c>
      <c r="Q15" s="127"/>
      <c r="R15" s="127"/>
    </row>
    <row r="16" spans="1:18" x14ac:dyDescent="0.25">
      <c r="A16" s="150">
        <v>8</v>
      </c>
      <c r="B16" s="151" t="s">
        <v>266</v>
      </c>
      <c r="C16" s="127">
        <f t="shared" si="2"/>
        <v>18066.7</v>
      </c>
      <c r="D16" s="127">
        <v>91</v>
      </c>
      <c r="E16" s="127"/>
      <c r="F16" s="127"/>
      <c r="G16" s="127"/>
      <c r="H16" s="127">
        <v>941</v>
      </c>
      <c r="I16" s="127"/>
      <c r="J16" s="127"/>
      <c r="K16" s="127"/>
      <c r="L16" s="127"/>
      <c r="M16" s="127"/>
      <c r="N16" s="127"/>
      <c r="O16" s="127"/>
      <c r="P16" s="127">
        <f>966.92</f>
        <v>966.92</v>
      </c>
      <c r="Q16" s="127">
        <f>65+14626.78+1376</f>
        <v>16067.78</v>
      </c>
      <c r="R16" s="127"/>
    </row>
    <row r="17" spans="1:18" x14ac:dyDescent="0.25">
      <c r="A17" s="150">
        <v>9</v>
      </c>
      <c r="B17" s="151" t="s">
        <v>267</v>
      </c>
      <c r="C17" s="127">
        <f t="shared" si="2"/>
        <v>698.33999999999992</v>
      </c>
      <c r="D17" s="127"/>
      <c r="E17" s="127"/>
      <c r="F17" s="127"/>
      <c r="G17" s="127"/>
      <c r="H17" s="127"/>
      <c r="I17" s="127">
        <v>190</v>
      </c>
      <c r="J17" s="127"/>
      <c r="K17" s="127"/>
      <c r="L17" s="127"/>
      <c r="M17" s="127"/>
      <c r="N17" s="127"/>
      <c r="O17" s="127"/>
      <c r="P17" s="127">
        <f>508.34</f>
        <v>508.34</v>
      </c>
      <c r="Q17" s="127"/>
      <c r="R17" s="127"/>
    </row>
    <row r="18" spans="1:18" ht="30" x14ac:dyDescent="0.25">
      <c r="A18" s="150">
        <v>10</v>
      </c>
      <c r="B18" s="151" t="s">
        <v>268</v>
      </c>
      <c r="C18" s="127">
        <f>SUM(D18:R18)-N18-O18</f>
        <v>1001.728</v>
      </c>
      <c r="D18" s="127"/>
      <c r="E18" s="127"/>
      <c r="F18" s="127"/>
      <c r="G18" s="127"/>
      <c r="H18" s="127"/>
      <c r="I18" s="127"/>
      <c r="J18" s="127"/>
      <c r="K18" s="127"/>
      <c r="L18" s="127">
        <v>50</v>
      </c>
      <c r="M18" s="127"/>
      <c r="N18" s="127"/>
      <c r="O18" s="127"/>
      <c r="P18" s="127">
        <f>951.728</f>
        <v>951.72799999999995</v>
      </c>
      <c r="Q18" s="127"/>
      <c r="R18" s="127"/>
    </row>
    <row r="19" spans="1:18" x14ac:dyDescent="0.25">
      <c r="A19" s="150">
        <v>11</v>
      </c>
      <c r="B19" s="151" t="s">
        <v>269</v>
      </c>
      <c r="C19" s="127">
        <f t="shared" si="2"/>
        <v>2025.84</v>
      </c>
      <c r="D19" s="127"/>
      <c r="E19" s="127"/>
      <c r="F19" s="127"/>
      <c r="G19" s="127"/>
      <c r="H19" s="127"/>
      <c r="I19" s="127"/>
      <c r="J19" s="127"/>
      <c r="K19" s="127"/>
      <c r="L19" s="127"/>
      <c r="M19" s="127"/>
      <c r="N19" s="127"/>
      <c r="O19" s="127"/>
      <c r="P19" s="127">
        <f>1060.86+344.98</f>
        <v>1405.84</v>
      </c>
      <c r="Q19" s="127">
        <v>70</v>
      </c>
      <c r="R19" s="127">
        <v>550</v>
      </c>
    </row>
    <row r="20" spans="1:18" x14ac:dyDescent="0.25">
      <c r="A20" s="150">
        <v>12</v>
      </c>
      <c r="B20" s="151" t="s">
        <v>270</v>
      </c>
      <c r="C20" s="127">
        <f>SUM(D20:R20)-N20-O20</f>
        <v>909.27</v>
      </c>
      <c r="D20" s="127"/>
      <c r="E20" s="127"/>
      <c r="F20" s="127"/>
      <c r="G20" s="127"/>
      <c r="H20" s="127"/>
      <c r="I20" s="127"/>
      <c r="J20" s="127"/>
      <c r="K20" s="127"/>
      <c r="L20" s="127"/>
      <c r="M20" s="127"/>
      <c r="N20" s="127"/>
      <c r="O20" s="127"/>
      <c r="P20" s="127">
        <f>889.27+20</f>
        <v>909.27</v>
      </c>
      <c r="Q20" s="127"/>
      <c r="R20" s="127"/>
    </row>
    <row r="21" spans="1:18" x14ac:dyDescent="0.25">
      <c r="A21" s="150">
        <v>13</v>
      </c>
      <c r="B21" s="151" t="s">
        <v>271</v>
      </c>
      <c r="C21" s="127">
        <f t="shared" si="2"/>
        <v>650.19100000000003</v>
      </c>
      <c r="D21" s="127"/>
      <c r="E21" s="127"/>
      <c r="F21" s="127"/>
      <c r="G21" s="127"/>
      <c r="H21" s="127"/>
      <c r="I21" s="127"/>
      <c r="J21" s="127"/>
      <c r="K21" s="127"/>
      <c r="L21" s="127"/>
      <c r="M21" s="127"/>
      <c r="N21" s="127"/>
      <c r="O21" s="127"/>
      <c r="P21" s="127">
        <f>543.191</f>
        <v>543.19100000000003</v>
      </c>
      <c r="Q21" s="127">
        <v>107</v>
      </c>
      <c r="R21" s="127"/>
    </row>
    <row r="22" spans="1:18" x14ac:dyDescent="0.25">
      <c r="A22" s="150"/>
      <c r="B22" s="151"/>
      <c r="C22" s="127">
        <f t="shared" ref="C22" si="3">D22+E22+F22+G22+H22+I22+J22+K22+L22+M22+P22+Q22+R22</f>
        <v>0</v>
      </c>
      <c r="D22" s="127"/>
      <c r="E22" s="127"/>
      <c r="F22" s="127"/>
      <c r="G22" s="127"/>
      <c r="H22" s="127"/>
      <c r="I22" s="127"/>
      <c r="J22" s="127"/>
      <c r="K22" s="127"/>
      <c r="L22" s="127"/>
      <c r="M22" s="127"/>
      <c r="N22" s="127"/>
      <c r="O22" s="127"/>
      <c r="P22" s="127"/>
      <c r="Q22" s="127"/>
      <c r="R22" s="127"/>
    </row>
    <row r="23" spans="1:18" x14ac:dyDescent="0.25">
      <c r="A23" s="147" t="s">
        <v>29</v>
      </c>
      <c r="B23" s="148" t="s">
        <v>272</v>
      </c>
      <c r="C23" s="149">
        <f t="shared" ref="C23:R23" si="4">SUM(C24:C30)</f>
        <v>11479.66</v>
      </c>
      <c r="D23" s="149">
        <f t="shared" si="4"/>
        <v>0</v>
      </c>
      <c r="E23" s="149">
        <f t="shared" si="4"/>
        <v>0</v>
      </c>
      <c r="F23" s="149">
        <f t="shared" si="4"/>
        <v>0</v>
      </c>
      <c r="G23" s="149">
        <f t="shared" si="4"/>
        <v>550</v>
      </c>
      <c r="H23" s="149">
        <f t="shared" si="4"/>
        <v>0</v>
      </c>
      <c r="I23" s="149">
        <f t="shared" si="4"/>
        <v>0</v>
      </c>
      <c r="J23" s="149">
        <f t="shared" si="4"/>
        <v>0</v>
      </c>
      <c r="K23" s="149">
        <f t="shared" si="4"/>
        <v>0</v>
      </c>
      <c r="L23" s="149">
        <f t="shared" si="4"/>
        <v>0</v>
      </c>
      <c r="M23" s="149">
        <f t="shared" si="4"/>
        <v>0</v>
      </c>
      <c r="N23" s="149">
        <f t="shared" si="4"/>
        <v>0</v>
      </c>
      <c r="O23" s="149">
        <f t="shared" si="4"/>
        <v>0</v>
      </c>
      <c r="P23" s="149">
        <f t="shared" si="4"/>
        <v>10929.66</v>
      </c>
      <c r="Q23" s="149">
        <f t="shared" si="4"/>
        <v>0</v>
      </c>
      <c r="R23" s="149">
        <f t="shared" si="4"/>
        <v>0</v>
      </c>
    </row>
    <row r="24" spans="1:18" x14ac:dyDescent="0.25">
      <c r="A24" s="150">
        <v>1</v>
      </c>
      <c r="B24" s="151" t="s">
        <v>273</v>
      </c>
      <c r="C24" s="127">
        <f t="shared" ref="C24:C63" si="5">SUM(D24:R24)-N24-O24</f>
        <v>8520.5519999999997</v>
      </c>
      <c r="D24" s="127"/>
      <c r="E24" s="127"/>
      <c r="F24" s="127"/>
      <c r="G24" s="127">
        <v>550</v>
      </c>
      <c r="H24" s="127"/>
      <c r="I24" s="127"/>
      <c r="J24" s="127"/>
      <c r="K24" s="127"/>
      <c r="L24" s="127"/>
      <c r="M24" s="127"/>
      <c r="N24" s="127"/>
      <c r="O24" s="127"/>
      <c r="P24" s="127">
        <f>7970.552</f>
        <v>7970.5519999999997</v>
      </c>
      <c r="Q24" s="127"/>
      <c r="R24" s="127"/>
    </row>
    <row r="25" spans="1:18" x14ac:dyDescent="0.25">
      <c r="A25" s="150">
        <v>2</v>
      </c>
      <c r="B25" s="151" t="s">
        <v>274</v>
      </c>
      <c r="C25" s="127">
        <f t="shared" si="5"/>
        <v>644.47400000000005</v>
      </c>
      <c r="D25" s="127"/>
      <c r="E25" s="127"/>
      <c r="F25" s="127"/>
      <c r="G25" s="127"/>
      <c r="H25" s="127"/>
      <c r="I25" s="127"/>
      <c r="J25" s="127"/>
      <c r="K25" s="127"/>
      <c r="L25" s="127"/>
      <c r="M25" s="127"/>
      <c r="N25" s="127"/>
      <c r="O25" s="127"/>
      <c r="P25" s="127">
        <v>644.47400000000005</v>
      </c>
      <c r="Q25" s="127"/>
      <c r="R25" s="127"/>
    </row>
    <row r="26" spans="1:18" x14ac:dyDescent="0.25">
      <c r="A26" s="150">
        <v>3</v>
      </c>
      <c r="B26" s="151" t="s">
        <v>352</v>
      </c>
      <c r="C26" s="127">
        <f t="shared" si="5"/>
        <v>699.55899999999997</v>
      </c>
      <c r="D26" s="127"/>
      <c r="E26" s="127"/>
      <c r="F26" s="127"/>
      <c r="G26" s="127"/>
      <c r="H26" s="127"/>
      <c r="I26" s="127"/>
      <c r="J26" s="127"/>
      <c r="K26" s="127"/>
      <c r="L26" s="127"/>
      <c r="M26" s="127"/>
      <c r="N26" s="127"/>
      <c r="O26" s="127"/>
      <c r="P26" s="127">
        <v>699.55899999999997</v>
      </c>
      <c r="Q26" s="127"/>
      <c r="R26" s="127"/>
    </row>
    <row r="27" spans="1:18" x14ac:dyDescent="0.25">
      <c r="A27" s="150">
        <v>4</v>
      </c>
      <c r="B27" s="151" t="s">
        <v>276</v>
      </c>
      <c r="C27" s="127">
        <f t="shared" si="5"/>
        <v>592.98800000000006</v>
      </c>
      <c r="D27" s="127"/>
      <c r="E27" s="127"/>
      <c r="F27" s="127"/>
      <c r="G27" s="127"/>
      <c r="H27" s="127"/>
      <c r="I27" s="127"/>
      <c r="J27" s="127"/>
      <c r="K27" s="127"/>
      <c r="L27" s="127"/>
      <c r="M27" s="127"/>
      <c r="N27" s="127"/>
      <c r="O27" s="127"/>
      <c r="P27" s="127">
        <v>592.98800000000006</v>
      </c>
      <c r="Q27" s="127"/>
      <c r="R27" s="127"/>
    </row>
    <row r="28" spans="1:18" x14ac:dyDescent="0.25">
      <c r="A28" s="150">
        <v>5</v>
      </c>
      <c r="B28" s="151" t="s">
        <v>277</v>
      </c>
      <c r="C28" s="127">
        <f t="shared" si="5"/>
        <v>465.2</v>
      </c>
      <c r="D28" s="127"/>
      <c r="E28" s="127"/>
      <c r="F28" s="127"/>
      <c r="G28" s="127"/>
      <c r="H28" s="127"/>
      <c r="I28" s="127"/>
      <c r="J28" s="127"/>
      <c r="K28" s="127"/>
      <c r="L28" s="127"/>
      <c r="M28" s="127"/>
      <c r="N28" s="127"/>
      <c r="O28" s="127"/>
      <c r="P28" s="127">
        <f>465.2</f>
        <v>465.2</v>
      </c>
      <c r="Q28" s="127"/>
      <c r="R28" s="127"/>
    </row>
    <row r="29" spans="1:18" x14ac:dyDescent="0.25">
      <c r="A29" s="150">
        <v>6</v>
      </c>
      <c r="B29" s="151" t="s">
        <v>278</v>
      </c>
      <c r="C29" s="127">
        <f t="shared" si="5"/>
        <v>436.18700000000001</v>
      </c>
      <c r="D29" s="127"/>
      <c r="E29" s="127"/>
      <c r="F29" s="127"/>
      <c r="G29" s="127"/>
      <c r="H29" s="127"/>
      <c r="I29" s="127"/>
      <c r="J29" s="127"/>
      <c r="K29" s="127"/>
      <c r="L29" s="127"/>
      <c r="M29" s="127"/>
      <c r="N29" s="127"/>
      <c r="O29" s="127"/>
      <c r="P29" s="127">
        <v>436.18700000000001</v>
      </c>
      <c r="Q29" s="127"/>
      <c r="R29" s="127"/>
    </row>
    <row r="30" spans="1:18" x14ac:dyDescent="0.25">
      <c r="A30" s="150">
        <v>7</v>
      </c>
      <c r="B30" s="151" t="s">
        <v>279</v>
      </c>
      <c r="C30" s="127">
        <f t="shared" si="5"/>
        <v>120.7</v>
      </c>
      <c r="D30" s="127"/>
      <c r="E30" s="127"/>
      <c r="F30" s="127"/>
      <c r="G30" s="127"/>
      <c r="H30" s="127"/>
      <c r="I30" s="127"/>
      <c r="J30" s="127"/>
      <c r="K30" s="127"/>
      <c r="L30" s="127"/>
      <c r="M30" s="127"/>
      <c r="N30" s="127"/>
      <c r="O30" s="127"/>
      <c r="P30" s="127">
        <v>120.7</v>
      </c>
      <c r="Q30" s="127"/>
      <c r="R30" s="127"/>
    </row>
    <row r="31" spans="1:18" x14ac:dyDescent="0.25">
      <c r="A31" s="147" t="s">
        <v>35</v>
      </c>
      <c r="B31" s="148" t="s">
        <v>282</v>
      </c>
      <c r="C31" s="149">
        <f t="shared" ref="C31:R31" si="6">SUM(C32:C39)</f>
        <v>23831.932000000001</v>
      </c>
      <c r="D31" s="149">
        <f t="shared" si="6"/>
        <v>2154.52</v>
      </c>
      <c r="E31" s="149">
        <f t="shared" si="6"/>
        <v>0</v>
      </c>
      <c r="F31" s="149">
        <f t="shared" si="6"/>
        <v>0</v>
      </c>
      <c r="G31" s="149">
        <f t="shared" si="6"/>
        <v>0</v>
      </c>
      <c r="H31" s="149">
        <f t="shared" si="6"/>
        <v>0</v>
      </c>
      <c r="I31" s="149">
        <f t="shared" si="6"/>
        <v>1242</v>
      </c>
      <c r="J31" s="149">
        <f t="shared" si="6"/>
        <v>1068</v>
      </c>
      <c r="K31" s="149">
        <f t="shared" si="6"/>
        <v>303</v>
      </c>
      <c r="L31" s="149">
        <f t="shared" si="6"/>
        <v>5379</v>
      </c>
      <c r="M31" s="149">
        <f t="shared" si="6"/>
        <v>13685.412</v>
      </c>
      <c r="N31" s="149">
        <f t="shared" si="6"/>
        <v>7525</v>
      </c>
      <c r="O31" s="149">
        <f t="shared" si="6"/>
        <v>1670</v>
      </c>
      <c r="P31" s="149">
        <f t="shared" si="6"/>
        <v>0</v>
      </c>
      <c r="Q31" s="149">
        <f t="shared" si="6"/>
        <v>0</v>
      </c>
      <c r="R31" s="149">
        <f t="shared" si="6"/>
        <v>0</v>
      </c>
    </row>
    <row r="32" spans="1:18" ht="30" x14ac:dyDescent="0.25">
      <c r="A32" s="150">
        <v>1</v>
      </c>
      <c r="B32" s="151" t="s">
        <v>280</v>
      </c>
      <c r="C32" s="127">
        <f t="shared" si="5"/>
        <v>802.71</v>
      </c>
      <c r="D32" s="127">
        <v>802.71</v>
      </c>
      <c r="E32" s="127"/>
      <c r="F32" s="127"/>
      <c r="G32" s="127"/>
      <c r="H32" s="127"/>
      <c r="I32" s="127"/>
      <c r="J32" s="127"/>
      <c r="K32" s="127"/>
      <c r="L32" s="127"/>
      <c r="M32" s="127"/>
      <c r="N32" s="127"/>
      <c r="O32" s="127"/>
      <c r="P32" s="127"/>
      <c r="Q32" s="127"/>
      <c r="R32" s="127"/>
    </row>
    <row r="33" spans="1:18" ht="29.25" customHeight="1" x14ac:dyDescent="0.25">
      <c r="A33" s="150">
        <v>2</v>
      </c>
      <c r="B33" s="151" t="s">
        <v>354</v>
      </c>
      <c r="C33" s="127">
        <f t="shared" si="5"/>
        <v>2613</v>
      </c>
      <c r="D33" s="127"/>
      <c r="E33" s="127"/>
      <c r="F33" s="127"/>
      <c r="G33" s="127"/>
      <c r="H33" s="127"/>
      <c r="I33" s="127">
        <v>1242</v>
      </c>
      <c r="J33" s="127">
        <v>1068</v>
      </c>
      <c r="K33" s="127">
        <v>303</v>
      </c>
      <c r="L33" s="127"/>
      <c r="M33" s="127"/>
      <c r="N33" s="127"/>
      <c r="O33" s="127"/>
      <c r="P33" s="127"/>
      <c r="Q33" s="127"/>
      <c r="R33" s="127"/>
    </row>
    <row r="34" spans="1:18" ht="30" x14ac:dyDescent="0.25">
      <c r="A34" s="150">
        <v>3</v>
      </c>
      <c r="B34" s="151" t="s">
        <v>283</v>
      </c>
      <c r="C34" s="127">
        <f t="shared" si="5"/>
        <v>0</v>
      </c>
      <c r="D34" s="127"/>
      <c r="E34" s="127"/>
      <c r="F34" s="127"/>
      <c r="G34" s="127"/>
      <c r="H34" s="127"/>
      <c r="I34" s="127"/>
      <c r="J34" s="127"/>
      <c r="K34" s="127"/>
      <c r="L34" s="127"/>
      <c r="M34" s="127"/>
      <c r="N34" s="127"/>
      <c r="O34" s="127"/>
      <c r="P34" s="127"/>
      <c r="Q34" s="127"/>
      <c r="R34" s="127"/>
    </row>
    <row r="35" spans="1:18" x14ac:dyDescent="0.25">
      <c r="A35" s="150">
        <v>4</v>
      </c>
      <c r="B35" s="151" t="s">
        <v>284</v>
      </c>
      <c r="C35" s="127">
        <f t="shared" si="5"/>
        <v>1351.81</v>
      </c>
      <c r="D35" s="127">
        <v>1351.81</v>
      </c>
      <c r="E35" s="127"/>
      <c r="F35" s="127"/>
      <c r="G35" s="127"/>
      <c r="H35" s="127"/>
      <c r="I35" s="127"/>
      <c r="J35" s="127"/>
      <c r="K35" s="127"/>
      <c r="L35" s="127"/>
      <c r="M35" s="127"/>
      <c r="N35" s="127"/>
      <c r="O35" s="127"/>
      <c r="P35" s="127"/>
      <c r="Q35" s="127"/>
      <c r="R35" s="127"/>
    </row>
    <row r="36" spans="1:18" ht="30" x14ac:dyDescent="0.25">
      <c r="A36" s="150">
        <v>5</v>
      </c>
      <c r="B36" s="151" t="s">
        <v>347</v>
      </c>
      <c r="C36" s="127">
        <f t="shared" si="5"/>
        <v>2213.6219999999998</v>
      </c>
      <c r="D36" s="127"/>
      <c r="E36" s="127"/>
      <c r="F36" s="127"/>
      <c r="G36" s="127"/>
      <c r="H36" s="127"/>
      <c r="I36" s="127"/>
      <c r="J36" s="127"/>
      <c r="K36" s="127"/>
      <c r="L36" s="127"/>
      <c r="M36" s="127">
        <f>2213.622</f>
        <v>2213.6219999999998</v>
      </c>
      <c r="N36" s="127"/>
      <c r="O36" s="127">
        <f>1500+170</f>
        <v>1670</v>
      </c>
      <c r="P36" s="127"/>
      <c r="Q36" s="127"/>
      <c r="R36" s="127"/>
    </row>
    <row r="37" spans="1:18" ht="30" x14ac:dyDescent="0.25">
      <c r="A37" s="150">
        <v>6</v>
      </c>
      <c r="B37" s="151" t="s">
        <v>346</v>
      </c>
      <c r="C37" s="127">
        <f t="shared" si="5"/>
        <v>6949</v>
      </c>
      <c r="D37" s="127"/>
      <c r="E37" s="127"/>
      <c r="F37" s="127"/>
      <c r="G37" s="127"/>
      <c r="H37" s="127"/>
      <c r="I37" s="127"/>
      <c r="J37" s="127"/>
      <c r="K37" s="127"/>
      <c r="L37" s="127">
        <f>5379</f>
        <v>5379</v>
      </c>
      <c r="M37" s="127">
        <f>570+700+300</f>
        <v>1570</v>
      </c>
      <c r="N37" s="127"/>
      <c r="O37" s="127"/>
      <c r="P37" s="127"/>
      <c r="Q37" s="127"/>
      <c r="R37" s="127"/>
    </row>
    <row r="38" spans="1:18" ht="34.5" customHeight="1" x14ac:dyDescent="0.25">
      <c r="A38" s="150">
        <v>7</v>
      </c>
      <c r="B38" s="151" t="s">
        <v>285</v>
      </c>
      <c r="C38" s="127">
        <f t="shared" si="5"/>
        <v>7525</v>
      </c>
      <c r="D38" s="127"/>
      <c r="E38" s="127"/>
      <c r="F38" s="127"/>
      <c r="G38" s="127"/>
      <c r="H38" s="127"/>
      <c r="I38" s="127"/>
      <c r="J38" s="127"/>
      <c r="K38" s="127"/>
      <c r="L38" s="127"/>
      <c r="M38" s="127">
        <v>7525</v>
      </c>
      <c r="N38" s="127">
        <v>7525</v>
      </c>
      <c r="O38" s="127"/>
      <c r="P38" s="127"/>
      <c r="Q38" s="127"/>
      <c r="R38" s="127"/>
    </row>
    <row r="39" spans="1:18" ht="45" customHeight="1" x14ac:dyDescent="0.25">
      <c r="A39" s="150">
        <v>8</v>
      </c>
      <c r="B39" s="151" t="s">
        <v>435</v>
      </c>
      <c r="C39" s="127">
        <f t="shared" si="5"/>
        <v>2376.79</v>
      </c>
      <c r="D39" s="127"/>
      <c r="E39" s="127"/>
      <c r="F39" s="127"/>
      <c r="G39" s="127"/>
      <c r="H39" s="127"/>
      <c r="I39" s="127"/>
      <c r="J39" s="127"/>
      <c r="K39" s="127"/>
      <c r="L39" s="127"/>
      <c r="M39" s="127">
        <v>2376.79</v>
      </c>
      <c r="N39" s="127"/>
      <c r="O39" s="127"/>
      <c r="P39" s="127"/>
      <c r="Q39" s="127"/>
      <c r="R39" s="127"/>
    </row>
    <row r="40" spans="1:18" x14ac:dyDescent="0.25">
      <c r="A40" s="147" t="s">
        <v>68</v>
      </c>
      <c r="B40" s="148" t="s">
        <v>290</v>
      </c>
      <c r="C40" s="149">
        <f>SUM(C41:C50)</f>
        <v>5652.7730000000001</v>
      </c>
      <c r="D40" s="149">
        <f t="shared" ref="D40:R40" si="7">SUM(D41:D50)</f>
        <v>0</v>
      </c>
      <c r="E40" s="149">
        <f t="shared" si="7"/>
        <v>0</v>
      </c>
      <c r="F40" s="149">
        <f t="shared" si="7"/>
        <v>2266.7730000000001</v>
      </c>
      <c r="G40" s="149">
        <f t="shared" si="7"/>
        <v>1240</v>
      </c>
      <c r="H40" s="149">
        <f t="shared" si="7"/>
        <v>0</v>
      </c>
      <c r="I40" s="149">
        <f t="shared" si="7"/>
        <v>0</v>
      </c>
      <c r="J40" s="149">
        <f t="shared" si="7"/>
        <v>0</v>
      </c>
      <c r="K40" s="149">
        <f t="shared" si="7"/>
        <v>0</v>
      </c>
      <c r="L40" s="149">
        <f t="shared" si="7"/>
        <v>0</v>
      </c>
      <c r="M40" s="149">
        <f t="shared" si="7"/>
        <v>0</v>
      </c>
      <c r="N40" s="149">
        <f t="shared" si="7"/>
        <v>0</v>
      </c>
      <c r="O40" s="149">
        <f t="shared" si="7"/>
        <v>0</v>
      </c>
      <c r="P40" s="149">
        <f t="shared" si="7"/>
        <v>0</v>
      </c>
      <c r="Q40" s="149">
        <f t="shared" si="7"/>
        <v>0</v>
      </c>
      <c r="R40" s="149">
        <f t="shared" si="7"/>
        <v>2146</v>
      </c>
    </row>
    <row r="41" spans="1:18" x14ac:dyDescent="0.25">
      <c r="A41" s="150">
        <v>1</v>
      </c>
      <c r="B41" s="151" t="s">
        <v>291</v>
      </c>
      <c r="C41" s="127">
        <f t="shared" si="5"/>
        <v>1240</v>
      </c>
      <c r="D41" s="127"/>
      <c r="E41" s="127"/>
      <c r="F41" s="127"/>
      <c r="G41" s="127">
        <v>1240</v>
      </c>
      <c r="H41" s="127"/>
      <c r="I41" s="127"/>
      <c r="J41" s="127"/>
      <c r="K41" s="127"/>
      <c r="L41" s="127"/>
      <c r="M41" s="127"/>
      <c r="N41" s="127"/>
      <c r="O41" s="127"/>
      <c r="P41" s="127"/>
      <c r="Q41" s="127"/>
      <c r="R41" s="127"/>
    </row>
    <row r="42" spans="1:18" x14ac:dyDescent="0.25">
      <c r="A42" s="150">
        <v>2</v>
      </c>
      <c r="B42" s="151" t="s">
        <v>292</v>
      </c>
      <c r="C42" s="127">
        <f t="shared" si="5"/>
        <v>2266.7730000000001</v>
      </c>
      <c r="D42" s="127"/>
      <c r="E42" s="127"/>
      <c r="F42" s="127">
        <v>2266.7730000000001</v>
      </c>
      <c r="G42" s="127"/>
      <c r="H42" s="127"/>
      <c r="I42" s="127"/>
      <c r="J42" s="127"/>
      <c r="K42" s="127"/>
      <c r="L42" s="127"/>
      <c r="M42" s="127"/>
      <c r="N42" s="127"/>
      <c r="O42" s="127"/>
      <c r="P42" s="127"/>
      <c r="Q42" s="127"/>
      <c r="R42" s="127"/>
    </row>
    <row r="43" spans="1:18" x14ac:dyDescent="0.25">
      <c r="A43" s="150">
        <v>3</v>
      </c>
      <c r="B43" s="151" t="s">
        <v>293</v>
      </c>
      <c r="C43" s="127">
        <f t="shared" si="5"/>
        <v>50</v>
      </c>
      <c r="D43" s="127"/>
      <c r="E43" s="127"/>
      <c r="F43" s="127"/>
      <c r="G43" s="127"/>
      <c r="H43" s="127"/>
      <c r="I43" s="127"/>
      <c r="J43" s="127"/>
      <c r="K43" s="127"/>
      <c r="L43" s="127"/>
      <c r="M43" s="127"/>
      <c r="N43" s="127"/>
      <c r="O43" s="127"/>
      <c r="P43" s="127"/>
      <c r="Q43" s="127"/>
      <c r="R43" s="127">
        <v>50</v>
      </c>
    </row>
    <row r="44" spans="1:18" x14ac:dyDescent="0.25">
      <c r="A44" s="150">
        <v>4</v>
      </c>
      <c r="B44" s="151" t="s">
        <v>294</v>
      </c>
      <c r="C44" s="127">
        <f t="shared" si="5"/>
        <v>30</v>
      </c>
      <c r="D44" s="127"/>
      <c r="E44" s="127"/>
      <c r="F44" s="127"/>
      <c r="G44" s="127"/>
      <c r="H44" s="127"/>
      <c r="I44" s="127"/>
      <c r="J44" s="127"/>
      <c r="K44" s="127"/>
      <c r="L44" s="127"/>
      <c r="M44" s="127"/>
      <c r="N44" s="127"/>
      <c r="O44" s="127"/>
      <c r="P44" s="127"/>
      <c r="Q44" s="127"/>
      <c r="R44" s="127">
        <v>30</v>
      </c>
    </row>
    <row r="45" spans="1:18" x14ac:dyDescent="0.25">
      <c r="A45" s="150">
        <v>5</v>
      </c>
      <c r="B45" s="151" t="s">
        <v>295</v>
      </c>
      <c r="C45" s="127">
        <f t="shared" si="5"/>
        <v>50</v>
      </c>
      <c r="D45" s="127"/>
      <c r="E45" s="127"/>
      <c r="F45" s="127"/>
      <c r="G45" s="127"/>
      <c r="H45" s="127"/>
      <c r="I45" s="127"/>
      <c r="J45" s="127"/>
      <c r="K45" s="127"/>
      <c r="L45" s="127"/>
      <c r="M45" s="127"/>
      <c r="N45" s="127"/>
      <c r="O45" s="127"/>
      <c r="P45" s="127"/>
      <c r="Q45" s="127"/>
      <c r="R45" s="127">
        <v>50</v>
      </c>
    </row>
    <row r="46" spans="1:18" x14ac:dyDescent="0.25">
      <c r="A46" s="150">
        <v>6</v>
      </c>
      <c r="B46" s="151" t="s">
        <v>300</v>
      </c>
      <c r="C46" s="127">
        <f t="shared" si="5"/>
        <v>370</v>
      </c>
      <c r="D46" s="127"/>
      <c r="E46" s="127"/>
      <c r="F46" s="127"/>
      <c r="G46" s="127"/>
      <c r="H46" s="127"/>
      <c r="I46" s="127"/>
      <c r="J46" s="127"/>
      <c r="K46" s="127"/>
      <c r="L46" s="127"/>
      <c r="M46" s="127"/>
      <c r="N46" s="127"/>
      <c r="O46" s="127"/>
      <c r="P46" s="127"/>
      <c r="Q46" s="127"/>
      <c r="R46" s="127">
        <v>370</v>
      </c>
    </row>
    <row r="47" spans="1:18" x14ac:dyDescent="0.25">
      <c r="A47" s="150">
        <v>7</v>
      </c>
      <c r="B47" s="151" t="s">
        <v>296</v>
      </c>
      <c r="C47" s="127">
        <f t="shared" si="5"/>
        <v>16</v>
      </c>
      <c r="D47" s="127"/>
      <c r="E47" s="127"/>
      <c r="F47" s="127"/>
      <c r="G47" s="127"/>
      <c r="H47" s="127"/>
      <c r="I47" s="127"/>
      <c r="J47" s="127"/>
      <c r="K47" s="127"/>
      <c r="L47" s="127"/>
      <c r="M47" s="127"/>
      <c r="N47" s="127"/>
      <c r="O47" s="127"/>
      <c r="P47" s="127"/>
      <c r="Q47" s="127"/>
      <c r="R47" s="127">
        <v>16</v>
      </c>
    </row>
    <row r="48" spans="1:18" ht="30" x14ac:dyDescent="0.25">
      <c r="A48" s="150">
        <v>8</v>
      </c>
      <c r="B48" s="151" t="s">
        <v>348</v>
      </c>
      <c r="C48" s="127">
        <f t="shared" si="5"/>
        <v>30</v>
      </c>
      <c r="D48" s="127"/>
      <c r="E48" s="127"/>
      <c r="F48" s="127"/>
      <c r="G48" s="127"/>
      <c r="H48" s="127"/>
      <c r="I48" s="127"/>
      <c r="J48" s="127"/>
      <c r="K48" s="127"/>
      <c r="L48" s="127"/>
      <c r="M48" s="127"/>
      <c r="N48" s="127"/>
      <c r="O48" s="127"/>
      <c r="P48" s="127"/>
      <c r="Q48" s="127"/>
      <c r="R48" s="127">
        <v>30</v>
      </c>
    </row>
    <row r="49" spans="1:18" x14ac:dyDescent="0.25">
      <c r="A49" s="150">
        <v>9</v>
      </c>
      <c r="B49" s="151" t="s">
        <v>301</v>
      </c>
      <c r="C49" s="127">
        <f t="shared" ref="C49" si="8">SUM(D49:R49)-N49-O49</f>
        <v>1500</v>
      </c>
      <c r="D49" s="127"/>
      <c r="E49" s="127"/>
      <c r="F49" s="127"/>
      <c r="G49" s="127"/>
      <c r="H49" s="127"/>
      <c r="I49" s="127"/>
      <c r="J49" s="127"/>
      <c r="K49" s="127"/>
      <c r="L49" s="127"/>
      <c r="M49" s="127"/>
      <c r="N49" s="127"/>
      <c r="O49" s="127"/>
      <c r="P49" s="127"/>
      <c r="Q49" s="127"/>
      <c r="R49" s="127">
        <v>1500</v>
      </c>
    </row>
    <row r="50" spans="1:18" ht="60" x14ac:dyDescent="0.25">
      <c r="A50" s="150">
        <v>10</v>
      </c>
      <c r="B50" s="134" t="s">
        <v>399</v>
      </c>
      <c r="C50" s="127">
        <f t="shared" si="5"/>
        <v>100</v>
      </c>
      <c r="D50" s="127"/>
      <c r="E50" s="127"/>
      <c r="F50" s="127"/>
      <c r="G50" s="127"/>
      <c r="H50" s="127"/>
      <c r="I50" s="127"/>
      <c r="J50" s="127"/>
      <c r="K50" s="127"/>
      <c r="L50" s="127"/>
      <c r="M50" s="127"/>
      <c r="N50" s="127"/>
      <c r="O50" s="127"/>
      <c r="P50" s="127"/>
      <c r="Q50" s="127"/>
      <c r="R50" s="127">
        <f>100</f>
        <v>100</v>
      </c>
    </row>
    <row r="51" spans="1:18" x14ac:dyDescent="0.25">
      <c r="A51" s="147" t="s">
        <v>70</v>
      </c>
      <c r="B51" s="148" t="s">
        <v>286</v>
      </c>
      <c r="C51" s="149">
        <f>SUM(C52:C62)</f>
        <v>59095.779000000002</v>
      </c>
      <c r="D51" s="149">
        <f t="shared" ref="D51:R51" si="9">SUM(D52:D62)</f>
        <v>0</v>
      </c>
      <c r="E51" s="149">
        <f t="shared" si="9"/>
        <v>0</v>
      </c>
      <c r="F51" s="149">
        <f t="shared" si="9"/>
        <v>0</v>
      </c>
      <c r="G51" s="149">
        <f t="shared" si="9"/>
        <v>0</v>
      </c>
      <c r="H51" s="149">
        <f t="shared" si="9"/>
        <v>0</v>
      </c>
      <c r="I51" s="149">
        <f t="shared" si="9"/>
        <v>0</v>
      </c>
      <c r="J51" s="149">
        <f t="shared" si="9"/>
        <v>0</v>
      </c>
      <c r="K51" s="149">
        <f t="shared" si="9"/>
        <v>0</v>
      </c>
      <c r="L51" s="149">
        <f t="shared" si="9"/>
        <v>0</v>
      </c>
      <c r="M51" s="149">
        <f t="shared" si="9"/>
        <v>0</v>
      </c>
      <c r="N51" s="149">
        <f t="shared" si="9"/>
        <v>0</v>
      </c>
      <c r="O51" s="149">
        <f t="shared" si="9"/>
        <v>0</v>
      </c>
      <c r="P51" s="149">
        <f>SUM(P52:P62)</f>
        <v>59095.779000000002</v>
      </c>
      <c r="Q51" s="149">
        <f t="shared" si="9"/>
        <v>0</v>
      </c>
      <c r="R51" s="149">
        <f t="shared" si="9"/>
        <v>0</v>
      </c>
    </row>
    <row r="52" spans="1:18" x14ac:dyDescent="0.25">
      <c r="A52" s="150">
        <v>1</v>
      </c>
      <c r="B52" s="151" t="s">
        <v>287</v>
      </c>
      <c r="C52" s="127">
        <f>SUM(D52:R52)-N52-O52</f>
        <v>4201.1980000000003</v>
      </c>
      <c r="D52" s="127"/>
      <c r="E52" s="127"/>
      <c r="F52" s="127"/>
      <c r="G52" s="127"/>
      <c r="H52" s="127"/>
      <c r="I52" s="127"/>
      <c r="J52" s="127"/>
      <c r="K52" s="127"/>
      <c r="L52" s="127"/>
      <c r="M52" s="127"/>
      <c r="N52" s="127"/>
      <c r="O52" s="127"/>
      <c r="P52" s="127">
        <v>4201.1980000000003</v>
      </c>
      <c r="Q52" s="127"/>
      <c r="R52" s="127"/>
    </row>
    <row r="53" spans="1:18" x14ac:dyDescent="0.25">
      <c r="A53" s="150">
        <v>2</v>
      </c>
      <c r="B53" s="151" t="s">
        <v>169</v>
      </c>
      <c r="C53" s="127">
        <f t="shared" si="5"/>
        <v>4266.1899999999996</v>
      </c>
      <c r="D53" s="127"/>
      <c r="E53" s="127"/>
      <c r="F53" s="127"/>
      <c r="G53" s="127"/>
      <c r="H53" s="127"/>
      <c r="I53" s="127"/>
      <c r="J53" s="127"/>
      <c r="K53" s="127"/>
      <c r="L53" s="127"/>
      <c r="M53" s="127"/>
      <c r="N53" s="127"/>
      <c r="O53" s="127"/>
      <c r="P53" s="127">
        <v>4266.1899999999996</v>
      </c>
      <c r="Q53" s="127"/>
      <c r="R53" s="127"/>
    </row>
    <row r="54" spans="1:18" x14ac:dyDescent="0.25">
      <c r="A54" s="150">
        <v>3</v>
      </c>
      <c r="B54" s="151" t="s">
        <v>170</v>
      </c>
      <c r="C54" s="127">
        <f t="shared" si="5"/>
        <v>4336.9129999999996</v>
      </c>
      <c r="D54" s="127"/>
      <c r="E54" s="127"/>
      <c r="F54" s="127"/>
      <c r="G54" s="127"/>
      <c r="H54" s="127"/>
      <c r="I54" s="127"/>
      <c r="J54" s="127"/>
      <c r="K54" s="127"/>
      <c r="L54" s="127"/>
      <c r="M54" s="127"/>
      <c r="N54" s="127"/>
      <c r="O54" s="127"/>
      <c r="P54" s="127">
        <v>4336.9129999999996</v>
      </c>
      <c r="Q54" s="127"/>
      <c r="R54" s="127"/>
    </row>
    <row r="55" spans="1:18" x14ac:dyDescent="0.25">
      <c r="A55" s="150">
        <v>4</v>
      </c>
      <c r="B55" s="151" t="s">
        <v>168</v>
      </c>
      <c r="C55" s="127">
        <f t="shared" si="5"/>
        <v>4261.2969999999996</v>
      </c>
      <c r="D55" s="127"/>
      <c r="E55" s="127"/>
      <c r="F55" s="127"/>
      <c r="G55" s="127"/>
      <c r="H55" s="127"/>
      <c r="I55" s="127"/>
      <c r="J55" s="127"/>
      <c r="K55" s="127"/>
      <c r="L55" s="127"/>
      <c r="M55" s="127"/>
      <c r="N55" s="127"/>
      <c r="O55" s="127"/>
      <c r="P55" s="127">
        <v>4261.2969999999996</v>
      </c>
      <c r="Q55" s="127"/>
      <c r="R55" s="127"/>
    </row>
    <row r="56" spans="1:18" x14ac:dyDescent="0.25">
      <c r="A56" s="150">
        <v>5</v>
      </c>
      <c r="B56" s="151" t="s">
        <v>171</v>
      </c>
      <c r="C56" s="127">
        <f t="shared" si="5"/>
        <v>5420.5659999999998</v>
      </c>
      <c r="D56" s="127"/>
      <c r="E56" s="127"/>
      <c r="F56" s="127"/>
      <c r="G56" s="127"/>
      <c r="H56" s="127"/>
      <c r="I56" s="127"/>
      <c r="J56" s="127"/>
      <c r="K56" s="127"/>
      <c r="L56" s="127"/>
      <c r="M56" s="127"/>
      <c r="N56" s="127"/>
      <c r="O56" s="127"/>
      <c r="P56" s="127">
        <v>5420.5659999999998</v>
      </c>
      <c r="Q56" s="127"/>
      <c r="R56" s="127"/>
    </row>
    <row r="57" spans="1:18" x14ac:dyDescent="0.25">
      <c r="A57" s="150">
        <v>6</v>
      </c>
      <c r="B57" s="151" t="s">
        <v>172</v>
      </c>
      <c r="C57" s="127">
        <f t="shared" si="5"/>
        <v>4695.3999999999996</v>
      </c>
      <c r="D57" s="127"/>
      <c r="E57" s="127"/>
      <c r="F57" s="127"/>
      <c r="G57" s="127"/>
      <c r="H57" s="127"/>
      <c r="I57" s="127"/>
      <c r="J57" s="127"/>
      <c r="K57" s="127"/>
      <c r="L57" s="127"/>
      <c r="M57" s="127"/>
      <c r="N57" s="127"/>
      <c r="O57" s="127"/>
      <c r="P57" s="127">
        <v>4695.3999999999996</v>
      </c>
      <c r="Q57" s="127"/>
      <c r="R57" s="127"/>
    </row>
    <row r="58" spans="1:18" x14ac:dyDescent="0.25">
      <c r="A58" s="150">
        <v>7</v>
      </c>
      <c r="B58" s="151" t="s">
        <v>288</v>
      </c>
      <c r="C58" s="127">
        <f t="shared" si="5"/>
        <v>4615.9620000000004</v>
      </c>
      <c r="D58" s="127"/>
      <c r="E58" s="127"/>
      <c r="F58" s="127"/>
      <c r="G58" s="127"/>
      <c r="H58" s="127"/>
      <c r="I58" s="127"/>
      <c r="J58" s="127"/>
      <c r="K58" s="127"/>
      <c r="L58" s="127"/>
      <c r="M58" s="127"/>
      <c r="N58" s="127"/>
      <c r="O58" s="127"/>
      <c r="P58" s="127">
        <v>4615.9620000000004</v>
      </c>
      <c r="Q58" s="127"/>
      <c r="R58" s="127"/>
    </row>
    <row r="59" spans="1:18" x14ac:dyDescent="0.25">
      <c r="A59" s="150">
        <v>8</v>
      </c>
      <c r="B59" s="151" t="s">
        <v>173</v>
      </c>
      <c r="C59" s="127">
        <f t="shared" si="5"/>
        <v>6714.96</v>
      </c>
      <c r="D59" s="127"/>
      <c r="E59" s="127"/>
      <c r="F59" s="127"/>
      <c r="G59" s="127"/>
      <c r="H59" s="127"/>
      <c r="I59" s="127"/>
      <c r="J59" s="127"/>
      <c r="K59" s="127"/>
      <c r="L59" s="127"/>
      <c r="M59" s="127"/>
      <c r="N59" s="127"/>
      <c r="O59" s="127"/>
      <c r="P59" s="127">
        <v>6714.96</v>
      </c>
      <c r="Q59" s="127"/>
      <c r="R59" s="127"/>
    </row>
    <row r="60" spans="1:18" x14ac:dyDescent="0.25">
      <c r="A60" s="150">
        <v>9</v>
      </c>
      <c r="B60" s="151" t="s">
        <v>177</v>
      </c>
      <c r="C60" s="127">
        <f t="shared" si="5"/>
        <v>6889.616</v>
      </c>
      <c r="D60" s="127"/>
      <c r="E60" s="127"/>
      <c r="F60" s="127"/>
      <c r="G60" s="127"/>
      <c r="H60" s="127"/>
      <c r="I60" s="127"/>
      <c r="J60" s="127"/>
      <c r="K60" s="127"/>
      <c r="L60" s="127"/>
      <c r="M60" s="127"/>
      <c r="N60" s="127"/>
      <c r="O60" s="127"/>
      <c r="P60" s="127">
        <v>6889.616</v>
      </c>
      <c r="Q60" s="127"/>
      <c r="R60" s="127"/>
    </row>
    <row r="61" spans="1:18" x14ac:dyDescent="0.25">
      <c r="A61" s="150">
        <v>10</v>
      </c>
      <c r="B61" s="151" t="s">
        <v>175</v>
      </c>
      <c r="C61" s="127">
        <f t="shared" si="5"/>
        <v>6521.451</v>
      </c>
      <c r="D61" s="127"/>
      <c r="E61" s="127"/>
      <c r="F61" s="127"/>
      <c r="G61" s="127"/>
      <c r="H61" s="127"/>
      <c r="I61" s="127"/>
      <c r="J61" s="127"/>
      <c r="K61" s="127"/>
      <c r="L61" s="127"/>
      <c r="M61" s="127"/>
      <c r="N61" s="127"/>
      <c r="O61" s="127"/>
      <c r="P61" s="127">
        <v>6521.451</v>
      </c>
      <c r="Q61" s="127"/>
      <c r="R61" s="127"/>
    </row>
    <row r="62" spans="1:18" x14ac:dyDescent="0.25">
      <c r="A62" s="150">
        <v>11</v>
      </c>
      <c r="B62" s="151" t="s">
        <v>176</v>
      </c>
      <c r="C62" s="127">
        <f t="shared" si="5"/>
        <v>7172.2259999999997</v>
      </c>
      <c r="D62" s="127"/>
      <c r="E62" s="127"/>
      <c r="F62" s="127"/>
      <c r="G62" s="127"/>
      <c r="H62" s="127"/>
      <c r="I62" s="127"/>
      <c r="J62" s="127"/>
      <c r="K62" s="127"/>
      <c r="L62" s="127"/>
      <c r="M62" s="127"/>
      <c r="N62" s="127"/>
      <c r="O62" s="127"/>
      <c r="P62" s="127">
        <v>7172.2259999999997</v>
      </c>
      <c r="Q62" s="127"/>
      <c r="R62" s="127"/>
    </row>
    <row r="63" spans="1:18" x14ac:dyDescent="0.25">
      <c r="A63" s="152" t="s">
        <v>68</v>
      </c>
      <c r="B63" s="153" t="s">
        <v>436</v>
      </c>
      <c r="C63" s="154">
        <f t="shared" si="5"/>
        <v>5355</v>
      </c>
      <c r="D63" s="154"/>
      <c r="E63" s="154"/>
      <c r="F63" s="154"/>
      <c r="G63" s="154"/>
      <c r="H63" s="154"/>
      <c r="I63" s="154"/>
      <c r="J63" s="154"/>
      <c r="K63" s="154"/>
      <c r="L63" s="154"/>
      <c r="M63" s="154"/>
      <c r="N63" s="154"/>
      <c r="O63" s="154"/>
      <c r="P63" s="154">
        <v>5355</v>
      </c>
      <c r="Q63" s="154"/>
      <c r="R63" s="154"/>
    </row>
    <row r="64" spans="1:18" x14ac:dyDescent="0.25">
      <c r="A64" s="155"/>
      <c r="C64" s="138"/>
      <c r="P64" s="156"/>
    </row>
    <row r="65" spans="3:3" x14ac:dyDescent="0.25">
      <c r="C65" s="138"/>
    </row>
    <row r="66" spans="3:3" x14ac:dyDescent="0.25">
      <c r="C66" s="139"/>
    </row>
    <row r="67" spans="3:3" x14ac:dyDescent="0.25">
      <c r="C67" s="140"/>
    </row>
  </sheetData>
  <mergeCells count="19">
    <mergeCell ref="F4:F5"/>
    <mergeCell ref="K4:K5"/>
    <mergeCell ref="R4:R5"/>
    <mergeCell ref="A1:B1"/>
    <mergeCell ref="E4:E5"/>
    <mergeCell ref="P4:P5"/>
    <mergeCell ref="Q4:Q5"/>
    <mergeCell ref="L4:L5"/>
    <mergeCell ref="J4:J5"/>
    <mergeCell ref="M4:M5"/>
    <mergeCell ref="N4:O4"/>
    <mergeCell ref="A4:A5"/>
    <mergeCell ref="B4:B5"/>
    <mergeCell ref="C4:C5"/>
    <mergeCell ref="D4:D5"/>
    <mergeCell ref="G4:G5"/>
    <mergeCell ref="H4:H5"/>
    <mergeCell ref="I4:I5"/>
    <mergeCell ref="A2:R2"/>
  </mergeCells>
  <phoneticPr fontId="16" type="noConversion"/>
  <printOptions horizontalCentered="1"/>
  <pageMargins left="0.27559055118110237" right="0.15748031496062992" top="0.31496062992125984" bottom="0.23622047244094491" header="0.31496062992125984" footer="0.31496062992125984"/>
  <pageSetup paperSize="9" scale="7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8"/>
  <sheetViews>
    <sheetView workbookViewId="0">
      <selection sqref="A1:M20"/>
    </sheetView>
  </sheetViews>
  <sheetFormatPr defaultRowHeight="15" x14ac:dyDescent="0.25"/>
  <cols>
    <col min="1" max="1" width="6.42578125" style="2" customWidth="1"/>
    <col min="2" max="2" width="22" style="2" customWidth="1"/>
    <col min="3" max="3" width="14.5703125" style="2" customWidth="1"/>
    <col min="4" max="4" width="16.140625" style="2" customWidth="1"/>
    <col min="5" max="5" width="13.42578125" style="2" customWidth="1"/>
    <col min="6" max="6" width="9.7109375" style="2" customWidth="1"/>
    <col min="7" max="7" width="12.28515625" style="2" customWidth="1"/>
    <col min="8" max="8" width="14.140625" style="2" customWidth="1"/>
    <col min="9" max="13" width="11.28515625" style="2" customWidth="1"/>
    <col min="14" max="14" width="13.42578125" style="2" bestFit="1" customWidth="1"/>
    <col min="15" max="16384" width="9.140625" style="2"/>
  </cols>
  <sheetData>
    <row r="1" spans="1:14" x14ac:dyDescent="0.25">
      <c r="A1" s="530" t="s">
        <v>178</v>
      </c>
      <c r="B1" s="530"/>
      <c r="L1" s="530" t="s">
        <v>116</v>
      </c>
      <c r="M1" s="530"/>
    </row>
    <row r="2" spans="1:14" ht="20.25" customHeight="1" x14ac:dyDescent="0.25">
      <c r="A2" s="530" t="s">
        <v>338</v>
      </c>
      <c r="B2" s="530"/>
      <c r="C2" s="530"/>
      <c r="D2" s="530"/>
      <c r="E2" s="530"/>
      <c r="F2" s="530"/>
      <c r="G2" s="530"/>
      <c r="H2" s="530"/>
      <c r="I2" s="530"/>
      <c r="J2" s="530"/>
      <c r="K2" s="530"/>
      <c r="L2" s="530"/>
      <c r="M2" s="530"/>
    </row>
    <row r="3" spans="1:14" ht="20.25" customHeight="1" x14ac:dyDescent="0.25">
      <c r="A3" s="530" t="s">
        <v>418</v>
      </c>
      <c r="B3" s="530"/>
      <c r="C3" s="530"/>
      <c r="D3" s="530"/>
      <c r="E3" s="530"/>
      <c r="F3" s="530"/>
      <c r="G3" s="530"/>
      <c r="H3" s="530"/>
      <c r="I3" s="530"/>
      <c r="J3" s="530"/>
      <c r="K3" s="530"/>
      <c r="L3" s="530"/>
      <c r="M3" s="530"/>
    </row>
    <row r="4" spans="1:14" x14ac:dyDescent="0.25">
      <c r="A4" s="63"/>
      <c r="L4" s="575" t="s">
        <v>42</v>
      </c>
      <c r="M4" s="575"/>
    </row>
    <row r="5" spans="1:14" x14ac:dyDescent="0.25">
      <c r="A5" s="570" t="s">
        <v>13</v>
      </c>
      <c r="B5" s="570" t="s">
        <v>52</v>
      </c>
      <c r="C5" s="570" t="s">
        <v>53</v>
      </c>
      <c r="D5" s="570" t="s">
        <v>117</v>
      </c>
      <c r="E5" s="570" t="s">
        <v>118</v>
      </c>
      <c r="F5" s="570"/>
      <c r="G5" s="570"/>
      <c r="H5" s="570" t="s">
        <v>119</v>
      </c>
      <c r="I5" s="600" t="s">
        <v>351</v>
      </c>
      <c r="J5" s="600" t="s">
        <v>350</v>
      </c>
      <c r="K5" s="570" t="s">
        <v>120</v>
      </c>
      <c r="L5" s="570" t="s">
        <v>28</v>
      </c>
      <c r="M5" s="570" t="s">
        <v>121</v>
      </c>
    </row>
    <row r="6" spans="1:14" x14ac:dyDescent="0.25">
      <c r="A6" s="570"/>
      <c r="B6" s="570"/>
      <c r="C6" s="570"/>
      <c r="D6" s="570"/>
      <c r="E6" s="628" t="s">
        <v>122</v>
      </c>
      <c r="F6" s="628" t="s">
        <v>123</v>
      </c>
      <c r="G6" s="628"/>
      <c r="H6" s="570"/>
      <c r="I6" s="629"/>
      <c r="J6" s="629"/>
      <c r="K6" s="570"/>
      <c r="L6" s="570"/>
      <c r="M6" s="570"/>
    </row>
    <row r="7" spans="1:14" ht="74.25" customHeight="1" x14ac:dyDescent="0.25">
      <c r="A7" s="570"/>
      <c r="B7" s="570"/>
      <c r="C7" s="570"/>
      <c r="D7" s="570"/>
      <c r="E7" s="628"/>
      <c r="F7" s="210" t="s">
        <v>45</v>
      </c>
      <c r="G7" s="210" t="s">
        <v>124</v>
      </c>
      <c r="H7" s="570"/>
      <c r="I7" s="601"/>
      <c r="J7" s="601"/>
      <c r="K7" s="570"/>
      <c r="L7" s="570"/>
      <c r="M7" s="570"/>
    </row>
    <row r="8" spans="1:14" ht="28.5" x14ac:dyDescent="0.25">
      <c r="A8" s="209" t="s">
        <v>17</v>
      </c>
      <c r="B8" s="209" t="s">
        <v>18</v>
      </c>
      <c r="C8" s="209">
        <v>1</v>
      </c>
      <c r="D8" s="209" t="s">
        <v>125</v>
      </c>
      <c r="E8" s="209">
        <v>3</v>
      </c>
      <c r="F8" s="209">
        <v>4</v>
      </c>
      <c r="G8" s="209">
        <v>5</v>
      </c>
      <c r="H8" s="209">
        <v>6</v>
      </c>
      <c r="I8" s="209"/>
      <c r="J8" s="209"/>
      <c r="K8" s="209">
        <v>7</v>
      </c>
      <c r="L8" s="209">
        <v>8</v>
      </c>
      <c r="M8" s="209" t="s">
        <v>126</v>
      </c>
    </row>
    <row r="9" spans="1:14" s="18" customFormat="1" ht="14.25" x14ac:dyDescent="0.2">
      <c r="A9" s="211"/>
      <c r="B9" s="212" t="s">
        <v>57</v>
      </c>
      <c r="C9" s="379">
        <f>SUM(C10:C20)</f>
        <v>216220</v>
      </c>
      <c r="D9" s="379">
        <f t="shared" ref="D9:M9" si="0">SUM(D10:D20)</f>
        <v>9929</v>
      </c>
      <c r="E9" s="379">
        <f t="shared" si="0"/>
        <v>9929</v>
      </c>
      <c r="F9" s="379">
        <f t="shared" si="0"/>
        <v>0</v>
      </c>
      <c r="G9" s="379">
        <f t="shared" si="0"/>
        <v>0</v>
      </c>
      <c r="H9" s="379">
        <f t="shared" si="0"/>
        <v>59044.779000000002</v>
      </c>
      <c r="I9" s="379">
        <f t="shared" si="0"/>
        <v>51</v>
      </c>
      <c r="J9" s="379">
        <f t="shared" si="0"/>
        <v>0</v>
      </c>
      <c r="K9" s="379">
        <f t="shared" si="0"/>
        <v>0</v>
      </c>
      <c r="L9" s="379">
        <f t="shared" si="0"/>
        <v>0</v>
      </c>
      <c r="M9" s="379">
        <f t="shared" si="0"/>
        <v>69024.778999999995</v>
      </c>
      <c r="N9" s="380"/>
    </row>
    <row r="10" spans="1:14" ht="19.5" customHeight="1" x14ac:dyDescent="0.25">
      <c r="A10" s="219">
        <v>1</v>
      </c>
      <c r="B10" s="220" t="s">
        <v>167</v>
      </c>
      <c r="C10" s="381">
        <v>53446</v>
      </c>
      <c r="D10" s="381">
        <v>4211</v>
      </c>
      <c r="E10" s="381">
        <v>4211</v>
      </c>
      <c r="F10" s="381"/>
      <c r="G10" s="381"/>
      <c r="H10" s="381">
        <v>4201.1980000000003</v>
      </c>
      <c r="I10" s="381"/>
      <c r="J10" s="381"/>
      <c r="K10" s="381"/>
      <c r="L10" s="381"/>
      <c r="M10" s="381">
        <f>D10+H10+I10+J10+K10+L10</f>
        <v>8412.1980000000003</v>
      </c>
      <c r="N10" s="15"/>
    </row>
    <row r="11" spans="1:14" ht="19.5" customHeight="1" x14ac:dyDescent="0.25">
      <c r="A11" s="219">
        <v>2</v>
      </c>
      <c r="B11" s="220" t="s">
        <v>168</v>
      </c>
      <c r="C11" s="381">
        <v>508</v>
      </c>
      <c r="D11" s="381">
        <v>38</v>
      </c>
      <c r="E11" s="381">
        <v>38</v>
      </c>
      <c r="F11" s="381"/>
      <c r="G11" s="381"/>
      <c r="H11" s="381">
        <v>4261.2969999999996</v>
      </c>
      <c r="I11" s="381"/>
      <c r="J11" s="381"/>
      <c r="K11" s="381"/>
      <c r="L11" s="381"/>
      <c r="M11" s="381">
        <f t="shared" ref="M11:M20" si="1">D11+H11+I11+J11+K11+L11</f>
        <v>4299.2969999999996</v>
      </c>
    </row>
    <row r="12" spans="1:14" ht="19.5" customHeight="1" x14ac:dyDescent="0.25">
      <c r="A12" s="219">
        <v>3</v>
      </c>
      <c r="B12" s="220" t="s">
        <v>169</v>
      </c>
      <c r="C12" s="381">
        <v>479</v>
      </c>
      <c r="D12" s="381">
        <v>54</v>
      </c>
      <c r="E12" s="381">
        <v>54</v>
      </c>
      <c r="F12" s="381"/>
      <c r="G12" s="381"/>
      <c r="H12" s="381">
        <v>4266.1899999999996</v>
      </c>
      <c r="I12" s="381"/>
      <c r="J12" s="381"/>
      <c r="K12" s="381"/>
      <c r="L12" s="381"/>
      <c r="M12" s="381">
        <f t="shared" si="1"/>
        <v>4320.1899999999996</v>
      </c>
    </row>
    <row r="13" spans="1:14" ht="19.5" customHeight="1" x14ac:dyDescent="0.25">
      <c r="A13" s="219">
        <v>4</v>
      </c>
      <c r="B13" s="220" t="s">
        <v>170</v>
      </c>
      <c r="C13" s="381">
        <v>27301</v>
      </c>
      <c r="D13" s="381">
        <v>86</v>
      </c>
      <c r="E13" s="381">
        <v>86</v>
      </c>
      <c r="F13" s="381"/>
      <c r="G13" s="381"/>
      <c r="H13" s="381">
        <v>4336.9129999999996</v>
      </c>
      <c r="I13" s="381"/>
      <c r="J13" s="381"/>
      <c r="K13" s="381"/>
      <c r="L13" s="381"/>
      <c r="M13" s="381">
        <f t="shared" si="1"/>
        <v>4422.9129999999996</v>
      </c>
    </row>
    <row r="14" spans="1:14" ht="19.5" customHeight="1" x14ac:dyDescent="0.25">
      <c r="A14" s="219">
        <v>5</v>
      </c>
      <c r="B14" s="220" t="s">
        <v>171</v>
      </c>
      <c r="C14" s="381">
        <v>37151</v>
      </c>
      <c r="D14" s="381">
        <v>96</v>
      </c>
      <c r="E14" s="381">
        <v>96</v>
      </c>
      <c r="F14" s="381"/>
      <c r="G14" s="381"/>
      <c r="H14" s="381">
        <v>5420.5659999999998</v>
      </c>
      <c r="I14" s="381"/>
      <c r="J14" s="381"/>
      <c r="K14" s="381"/>
      <c r="L14" s="381"/>
      <c r="M14" s="381">
        <f t="shared" si="1"/>
        <v>5516.5659999999998</v>
      </c>
    </row>
    <row r="15" spans="1:14" ht="19.5" customHeight="1" x14ac:dyDescent="0.25">
      <c r="A15" s="219">
        <v>6</v>
      </c>
      <c r="B15" s="220" t="s">
        <v>172</v>
      </c>
      <c r="C15" s="381">
        <v>798</v>
      </c>
      <c r="D15" s="381">
        <v>88</v>
      </c>
      <c r="E15" s="381">
        <v>88</v>
      </c>
      <c r="F15" s="381"/>
      <c r="G15" s="381"/>
      <c r="H15" s="381">
        <v>4695.3999999999996</v>
      </c>
      <c r="I15" s="381"/>
      <c r="J15" s="381"/>
      <c r="K15" s="381"/>
      <c r="L15" s="381"/>
      <c r="M15" s="381">
        <f t="shared" si="1"/>
        <v>4783.3999999999996</v>
      </c>
    </row>
    <row r="16" spans="1:14" ht="19.5" customHeight="1" x14ac:dyDescent="0.25">
      <c r="A16" s="219">
        <v>7</v>
      </c>
      <c r="B16" s="220" t="s">
        <v>173</v>
      </c>
      <c r="C16" s="381">
        <v>635</v>
      </c>
      <c r="D16" s="381">
        <v>75</v>
      </c>
      <c r="E16" s="381">
        <v>75</v>
      </c>
      <c r="F16" s="381"/>
      <c r="G16" s="381"/>
      <c r="H16" s="381">
        <f>6714.96-I16</f>
        <v>6663.96</v>
      </c>
      <c r="I16" s="381">
        <v>51</v>
      </c>
      <c r="J16" s="381"/>
      <c r="K16" s="381"/>
      <c r="L16" s="381"/>
      <c r="M16" s="381">
        <f t="shared" si="1"/>
        <v>6789.96</v>
      </c>
    </row>
    <row r="17" spans="1:13" ht="19.5" customHeight="1" x14ac:dyDescent="0.25">
      <c r="A17" s="219">
        <v>8</v>
      </c>
      <c r="B17" s="220" t="s">
        <v>174</v>
      </c>
      <c r="C17" s="381">
        <v>106</v>
      </c>
      <c r="D17" s="381">
        <v>21</v>
      </c>
      <c r="E17" s="381">
        <v>21</v>
      </c>
      <c r="F17" s="381"/>
      <c r="G17" s="381"/>
      <c r="H17" s="381">
        <v>4615.9620000000004</v>
      </c>
      <c r="I17" s="381"/>
      <c r="J17" s="381"/>
      <c r="K17" s="381"/>
      <c r="L17" s="381"/>
      <c r="M17" s="381">
        <f t="shared" si="1"/>
        <v>4636.9620000000004</v>
      </c>
    </row>
    <row r="18" spans="1:13" ht="19.5" customHeight="1" x14ac:dyDescent="0.25">
      <c r="A18" s="219">
        <v>9</v>
      </c>
      <c r="B18" s="220" t="s">
        <v>177</v>
      </c>
      <c r="C18" s="381">
        <v>490</v>
      </c>
      <c r="D18" s="381">
        <v>65</v>
      </c>
      <c r="E18" s="381">
        <v>65</v>
      </c>
      <c r="F18" s="381"/>
      <c r="G18" s="381"/>
      <c r="H18" s="381">
        <v>6889.616</v>
      </c>
      <c r="I18" s="381"/>
      <c r="J18" s="381"/>
      <c r="K18" s="381"/>
      <c r="L18" s="381"/>
      <c r="M18" s="381">
        <f t="shared" si="1"/>
        <v>6954.616</v>
      </c>
    </row>
    <row r="19" spans="1:13" ht="19.5" customHeight="1" x14ac:dyDescent="0.25">
      <c r="A19" s="219">
        <v>10</v>
      </c>
      <c r="B19" s="220" t="s">
        <v>175</v>
      </c>
      <c r="C19" s="381">
        <v>19520</v>
      </c>
      <c r="D19" s="381">
        <v>80</v>
      </c>
      <c r="E19" s="381">
        <v>80</v>
      </c>
      <c r="F19" s="381"/>
      <c r="G19" s="381"/>
      <c r="H19" s="381">
        <v>6521.451</v>
      </c>
      <c r="I19" s="381"/>
      <c r="J19" s="381"/>
      <c r="K19" s="381"/>
      <c r="L19" s="381"/>
      <c r="M19" s="381">
        <f t="shared" si="1"/>
        <v>6601.451</v>
      </c>
    </row>
    <row r="20" spans="1:13" ht="19.5" customHeight="1" x14ac:dyDescent="0.25">
      <c r="A20" s="230">
        <v>11</v>
      </c>
      <c r="B20" s="248" t="s">
        <v>176</v>
      </c>
      <c r="C20" s="382">
        <v>75786</v>
      </c>
      <c r="D20" s="382">
        <v>5115</v>
      </c>
      <c r="E20" s="382">
        <v>5115</v>
      </c>
      <c r="F20" s="382"/>
      <c r="G20" s="382"/>
      <c r="H20" s="382">
        <v>7172.2259999999997</v>
      </c>
      <c r="I20" s="382"/>
      <c r="J20" s="382"/>
      <c r="K20" s="382"/>
      <c r="L20" s="382"/>
      <c r="M20" s="382">
        <f t="shared" si="1"/>
        <v>12287.225999999999</v>
      </c>
    </row>
    <row r="21" spans="1:13" x14ac:dyDescent="0.25">
      <c r="A21" s="235"/>
    </row>
    <row r="22" spans="1:13" x14ac:dyDescent="0.25">
      <c r="A22" s="235"/>
      <c r="H22" s="282"/>
    </row>
    <row r="23" spans="1:13" x14ac:dyDescent="0.25">
      <c r="A23" s="235"/>
    </row>
    <row r="24" spans="1:13" x14ac:dyDescent="0.25">
      <c r="A24" s="235"/>
    </row>
    <row r="25" spans="1:13" x14ac:dyDescent="0.25">
      <c r="A25" s="235"/>
    </row>
    <row r="26" spans="1:13" x14ac:dyDescent="0.25">
      <c r="A26" s="235"/>
    </row>
    <row r="27" spans="1:13" x14ac:dyDescent="0.25">
      <c r="A27" s="235"/>
    </row>
    <row r="28" spans="1:13" x14ac:dyDescent="0.25">
      <c r="A28" s="235"/>
    </row>
  </sheetData>
  <mergeCells count="18">
    <mergeCell ref="A3:M3"/>
    <mergeCell ref="L1:M1"/>
    <mergeCell ref="L4:M4"/>
    <mergeCell ref="A1:B1"/>
    <mergeCell ref="A2:M2"/>
    <mergeCell ref="A5:A7"/>
    <mergeCell ref="B5:B7"/>
    <mergeCell ref="C5:C7"/>
    <mergeCell ref="M5:M7"/>
    <mergeCell ref="E6:E7"/>
    <mergeCell ref="F6:G6"/>
    <mergeCell ref="H5:H7"/>
    <mergeCell ref="K5:K7"/>
    <mergeCell ref="D5:D7"/>
    <mergeCell ref="E5:G5"/>
    <mergeCell ref="L5:L7"/>
    <mergeCell ref="J5:J7"/>
    <mergeCell ref="I5:I7"/>
  </mergeCells>
  <phoneticPr fontId="16" type="noConversion"/>
  <pageMargins left="0.35" right="0.25" top="0.4" bottom="0.37" header="0.31496062992125984" footer="0.31496062992125984"/>
  <pageSetup paperSize="9"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90"/>
  <sheetViews>
    <sheetView workbookViewId="0">
      <selection sqref="A1:U88"/>
    </sheetView>
  </sheetViews>
  <sheetFormatPr defaultRowHeight="12.75" x14ac:dyDescent="0.2"/>
  <cols>
    <col min="1" max="1" width="6.28515625" style="157" customWidth="1"/>
    <col min="2" max="2" width="35.140625" style="157" customWidth="1"/>
    <col min="3" max="3" width="11.28515625" style="157" bestFit="1" customWidth="1"/>
    <col min="4" max="4" width="11.5703125" style="157" bestFit="1" customWidth="1"/>
    <col min="5" max="5" width="9.42578125" style="157" bestFit="1" customWidth="1"/>
    <col min="6" max="6" width="11" style="157" customWidth="1"/>
    <col min="7" max="10" width="9.42578125" style="157" bestFit="1" customWidth="1"/>
    <col min="11" max="11" width="13.42578125" style="157" bestFit="1" customWidth="1"/>
    <col min="12" max="12" width="9.85546875" style="157" customWidth="1"/>
    <col min="13" max="13" width="9.42578125" style="157" bestFit="1" customWidth="1"/>
    <col min="14" max="14" width="9.28515625" style="157" hidden="1" customWidth="1"/>
    <col min="15" max="15" width="10.140625" style="157" bestFit="1" customWidth="1"/>
    <col min="16" max="16" width="9.42578125" style="157" bestFit="1" customWidth="1"/>
    <col min="17" max="17" width="12.28515625" style="157" bestFit="1" customWidth="1"/>
    <col min="18" max="18" width="9.42578125" style="157" customWidth="1"/>
    <col min="19" max="19" width="9.42578125" style="157" bestFit="1" customWidth="1"/>
    <col min="20" max="20" width="9.85546875" style="157" bestFit="1" customWidth="1"/>
    <col min="21" max="21" width="7.7109375" style="157" customWidth="1"/>
    <col min="22" max="16384" width="9.140625" style="157"/>
  </cols>
  <sheetData>
    <row r="1" spans="1:21" x14ac:dyDescent="0.2">
      <c r="A1" s="632" t="s">
        <v>178</v>
      </c>
      <c r="B1" s="632"/>
      <c r="S1" s="158" t="s">
        <v>129</v>
      </c>
    </row>
    <row r="2" spans="1:21" ht="15.75" customHeight="1" x14ac:dyDescent="0.2">
      <c r="A2" s="632" t="s">
        <v>419</v>
      </c>
      <c r="B2" s="632"/>
      <c r="C2" s="632"/>
      <c r="D2" s="632"/>
      <c r="E2" s="632"/>
      <c r="F2" s="632"/>
      <c r="G2" s="632"/>
      <c r="H2" s="632"/>
      <c r="I2" s="632"/>
      <c r="J2" s="632"/>
      <c r="K2" s="632"/>
      <c r="L2" s="632"/>
      <c r="M2" s="632"/>
      <c r="N2" s="632"/>
      <c r="O2" s="632"/>
      <c r="P2" s="632"/>
      <c r="Q2" s="632"/>
      <c r="R2" s="632"/>
      <c r="S2" s="632"/>
      <c r="T2" s="632"/>
      <c r="U2" s="632"/>
    </row>
    <row r="3" spans="1:21" x14ac:dyDescent="0.2">
      <c r="A3" s="159"/>
      <c r="C3" s="160"/>
      <c r="D3" s="161"/>
      <c r="K3" s="162"/>
      <c r="L3" s="162"/>
      <c r="Q3" s="162"/>
      <c r="R3" s="162"/>
      <c r="T3" s="159" t="s">
        <v>42</v>
      </c>
    </row>
    <row r="4" spans="1:21" ht="18" customHeight="1" x14ac:dyDescent="0.2">
      <c r="A4" s="631" t="s">
        <v>13</v>
      </c>
      <c r="B4" s="631" t="s">
        <v>115</v>
      </c>
      <c r="C4" s="631" t="s">
        <v>130</v>
      </c>
      <c r="D4" s="631" t="s">
        <v>131</v>
      </c>
      <c r="E4" s="631"/>
      <c r="F4" s="631"/>
      <c r="G4" s="631"/>
      <c r="H4" s="631"/>
      <c r="I4" s="631"/>
      <c r="J4" s="631"/>
      <c r="K4" s="631"/>
      <c r="L4" s="631"/>
      <c r="M4" s="631"/>
      <c r="N4" s="631"/>
      <c r="O4" s="631"/>
      <c r="P4" s="631"/>
      <c r="Q4" s="631" t="s">
        <v>132</v>
      </c>
      <c r="R4" s="631"/>
      <c r="S4" s="631"/>
      <c r="T4" s="631"/>
      <c r="U4" s="631" t="s">
        <v>34</v>
      </c>
    </row>
    <row r="5" spans="1:21" ht="22.5" customHeight="1" x14ac:dyDescent="0.2">
      <c r="A5" s="631"/>
      <c r="B5" s="631"/>
      <c r="C5" s="631"/>
      <c r="D5" s="630" t="s">
        <v>45</v>
      </c>
      <c r="E5" s="630" t="s">
        <v>102</v>
      </c>
      <c r="F5" s="630"/>
      <c r="G5" s="630"/>
      <c r="H5" s="630"/>
      <c r="I5" s="630"/>
      <c r="J5" s="630"/>
      <c r="K5" s="630" t="s">
        <v>89</v>
      </c>
      <c r="L5" s="630"/>
      <c r="M5" s="630"/>
      <c r="N5" s="630" t="s">
        <v>133</v>
      </c>
      <c r="O5" s="630" t="s">
        <v>71</v>
      </c>
      <c r="P5" s="630" t="s">
        <v>134</v>
      </c>
      <c r="Q5" s="630" t="s">
        <v>45</v>
      </c>
      <c r="R5" s="630" t="s">
        <v>135</v>
      </c>
      <c r="S5" s="630" t="s">
        <v>136</v>
      </c>
      <c r="T5" s="630" t="s">
        <v>137</v>
      </c>
      <c r="U5" s="631"/>
    </row>
    <row r="6" spans="1:21" x14ac:dyDescent="0.2">
      <c r="A6" s="631"/>
      <c r="B6" s="631"/>
      <c r="C6" s="631"/>
      <c r="D6" s="630"/>
      <c r="E6" s="630" t="s">
        <v>45</v>
      </c>
      <c r="F6" s="630" t="s">
        <v>111</v>
      </c>
      <c r="G6" s="630"/>
      <c r="H6" s="630" t="s">
        <v>138</v>
      </c>
      <c r="I6" s="630" t="s">
        <v>139</v>
      </c>
      <c r="J6" s="630" t="s">
        <v>140</v>
      </c>
      <c r="K6" s="630" t="s">
        <v>45</v>
      </c>
      <c r="L6" s="630" t="s">
        <v>111</v>
      </c>
      <c r="M6" s="630"/>
      <c r="N6" s="630"/>
      <c r="O6" s="630"/>
      <c r="P6" s="630"/>
      <c r="Q6" s="630"/>
      <c r="R6" s="630"/>
      <c r="S6" s="630"/>
      <c r="T6" s="630"/>
      <c r="U6" s="631"/>
    </row>
    <row r="7" spans="1:21" ht="92.25" customHeight="1" x14ac:dyDescent="0.2">
      <c r="A7" s="631"/>
      <c r="B7" s="631"/>
      <c r="C7" s="631"/>
      <c r="D7" s="630"/>
      <c r="E7" s="630"/>
      <c r="F7" s="200" t="s">
        <v>141</v>
      </c>
      <c r="G7" s="200" t="s">
        <v>64</v>
      </c>
      <c r="H7" s="630"/>
      <c r="I7" s="630"/>
      <c r="J7" s="630"/>
      <c r="K7" s="630"/>
      <c r="L7" s="200" t="s">
        <v>141</v>
      </c>
      <c r="M7" s="200" t="s">
        <v>142</v>
      </c>
      <c r="N7" s="630"/>
      <c r="O7" s="630"/>
      <c r="P7" s="630"/>
      <c r="Q7" s="630"/>
      <c r="R7" s="630"/>
      <c r="S7" s="630"/>
      <c r="T7" s="630"/>
      <c r="U7" s="631"/>
    </row>
    <row r="8" spans="1:21" ht="25.5" x14ac:dyDescent="0.2">
      <c r="A8" s="200" t="s">
        <v>17</v>
      </c>
      <c r="B8" s="200" t="s">
        <v>18</v>
      </c>
      <c r="C8" s="200" t="s">
        <v>143</v>
      </c>
      <c r="D8" s="200" t="s">
        <v>144</v>
      </c>
      <c r="E8" s="200" t="s">
        <v>145</v>
      </c>
      <c r="F8" s="200">
        <v>4</v>
      </c>
      <c r="G8" s="200">
        <v>5</v>
      </c>
      <c r="H8" s="200">
        <v>6</v>
      </c>
      <c r="I8" s="200">
        <v>7</v>
      </c>
      <c r="J8" s="200">
        <v>8</v>
      </c>
      <c r="K8" s="200">
        <v>9</v>
      </c>
      <c r="L8" s="200">
        <v>10</v>
      </c>
      <c r="M8" s="200">
        <v>11</v>
      </c>
      <c r="N8" s="200">
        <v>12</v>
      </c>
      <c r="O8" s="200">
        <v>13</v>
      </c>
      <c r="P8" s="200">
        <v>14</v>
      </c>
      <c r="Q8" s="200" t="s">
        <v>146</v>
      </c>
      <c r="R8" s="200">
        <v>16</v>
      </c>
      <c r="S8" s="200">
        <v>17</v>
      </c>
      <c r="T8" s="200">
        <v>18</v>
      </c>
      <c r="U8" s="200">
        <v>19</v>
      </c>
    </row>
    <row r="9" spans="1:21" ht="20.25" customHeight="1" x14ac:dyDescent="0.2">
      <c r="A9" s="383"/>
      <c r="B9" s="384" t="s">
        <v>57</v>
      </c>
      <c r="C9" s="385">
        <f t="shared" ref="C9:U9" si="0">C10+C71+C72+C73+C74+C75</f>
        <v>447546.74899999989</v>
      </c>
      <c r="D9" s="385">
        <f t="shared" si="0"/>
        <v>439448.74899999989</v>
      </c>
      <c r="E9" s="385">
        <f t="shared" si="0"/>
        <v>97064</v>
      </c>
      <c r="F9" s="385">
        <f t="shared" si="0"/>
        <v>0</v>
      </c>
      <c r="G9" s="385">
        <f t="shared" si="0"/>
        <v>0</v>
      </c>
      <c r="H9" s="385">
        <f t="shared" si="0"/>
        <v>7832</v>
      </c>
      <c r="I9" s="385">
        <f t="shared" si="0"/>
        <v>0</v>
      </c>
      <c r="J9" s="385">
        <f t="shared" si="0"/>
        <v>89232</v>
      </c>
      <c r="K9" s="385">
        <f t="shared" si="0"/>
        <v>329966.74899999995</v>
      </c>
      <c r="L9" s="385">
        <f t="shared" si="0"/>
        <v>348</v>
      </c>
      <c r="M9" s="385">
        <f t="shared" si="0"/>
        <v>0</v>
      </c>
      <c r="N9" s="385">
        <f t="shared" si="0"/>
        <v>0</v>
      </c>
      <c r="O9" s="385">
        <f t="shared" si="0"/>
        <v>7063</v>
      </c>
      <c r="P9" s="385">
        <f t="shared" si="0"/>
        <v>5355</v>
      </c>
      <c r="Q9" s="385">
        <f t="shared" si="0"/>
        <v>8098</v>
      </c>
      <c r="R9" s="385">
        <f t="shared" si="0"/>
        <v>7427</v>
      </c>
      <c r="S9" s="385">
        <f t="shared" si="0"/>
        <v>671</v>
      </c>
      <c r="T9" s="385">
        <f t="shared" si="0"/>
        <v>0</v>
      </c>
      <c r="U9" s="385">
        <f t="shared" si="0"/>
        <v>0</v>
      </c>
    </row>
    <row r="10" spans="1:21" s="163" customFormat="1" ht="20.25" customHeight="1" x14ac:dyDescent="0.2">
      <c r="A10" s="386" t="s">
        <v>19</v>
      </c>
      <c r="B10" s="165" t="s">
        <v>103</v>
      </c>
      <c r="C10" s="166">
        <f t="shared" ref="C10:U10" si="1">C11+C26+C34+C44+C56</f>
        <v>367317.96999999991</v>
      </c>
      <c r="D10" s="166">
        <f t="shared" si="1"/>
        <v>359270.96999999991</v>
      </c>
      <c r="E10" s="166">
        <f t="shared" si="1"/>
        <v>88424</v>
      </c>
      <c r="F10" s="166">
        <f t="shared" si="1"/>
        <v>0</v>
      </c>
      <c r="G10" s="166">
        <f t="shared" si="1"/>
        <v>0</v>
      </c>
      <c r="H10" s="166">
        <f t="shared" si="1"/>
        <v>7832</v>
      </c>
      <c r="I10" s="166">
        <f t="shared" si="1"/>
        <v>0</v>
      </c>
      <c r="J10" s="166">
        <f t="shared" si="1"/>
        <v>80592</v>
      </c>
      <c r="K10" s="166">
        <f t="shared" si="1"/>
        <v>270846.96999999997</v>
      </c>
      <c r="L10" s="166">
        <f t="shared" si="1"/>
        <v>0</v>
      </c>
      <c r="M10" s="166">
        <f t="shared" si="1"/>
        <v>0</v>
      </c>
      <c r="N10" s="166">
        <f t="shared" si="1"/>
        <v>0</v>
      </c>
      <c r="O10" s="166">
        <f t="shared" si="1"/>
        <v>0</v>
      </c>
      <c r="P10" s="166">
        <f t="shared" si="1"/>
        <v>0</v>
      </c>
      <c r="Q10" s="166">
        <f t="shared" si="1"/>
        <v>8047</v>
      </c>
      <c r="R10" s="166">
        <f t="shared" si="1"/>
        <v>7427</v>
      </c>
      <c r="S10" s="166">
        <f t="shared" si="1"/>
        <v>620</v>
      </c>
      <c r="T10" s="166">
        <f t="shared" si="1"/>
        <v>0</v>
      </c>
      <c r="U10" s="166">
        <f t="shared" si="1"/>
        <v>0</v>
      </c>
    </row>
    <row r="11" spans="1:21" s="163" customFormat="1" ht="20.25" customHeight="1" x14ac:dyDescent="0.2">
      <c r="A11" s="386" t="s">
        <v>159</v>
      </c>
      <c r="B11" s="165" t="s">
        <v>339</v>
      </c>
      <c r="C11" s="166">
        <f>SUM(C12:C25)</f>
        <v>42476.124999999985</v>
      </c>
      <c r="D11" s="166">
        <f t="shared" ref="D11:L11" si="2">SUM(D12:D25)</f>
        <v>36929.124999999985</v>
      </c>
      <c r="E11" s="166">
        <f t="shared" si="2"/>
        <v>1271</v>
      </c>
      <c r="F11" s="166">
        <f t="shared" si="2"/>
        <v>0</v>
      </c>
      <c r="G11" s="166">
        <f t="shared" si="2"/>
        <v>0</v>
      </c>
      <c r="H11" s="166">
        <f t="shared" si="2"/>
        <v>0</v>
      </c>
      <c r="I11" s="166">
        <f t="shared" si="2"/>
        <v>0</v>
      </c>
      <c r="J11" s="166">
        <f t="shared" si="2"/>
        <v>1271</v>
      </c>
      <c r="K11" s="167">
        <f t="shared" si="2"/>
        <v>35658.124999999985</v>
      </c>
      <c r="L11" s="166">
        <f t="shared" si="2"/>
        <v>0</v>
      </c>
      <c r="M11" s="166">
        <f t="shared" ref="M11:U11" si="3">SUM(M12:M25)</f>
        <v>0</v>
      </c>
      <c r="N11" s="166">
        <f t="shared" si="3"/>
        <v>0</v>
      </c>
      <c r="O11" s="166">
        <f t="shared" si="3"/>
        <v>0</v>
      </c>
      <c r="P11" s="166">
        <f t="shared" si="3"/>
        <v>0</v>
      </c>
      <c r="Q11" s="166">
        <f>SUM(Q12:Q25)</f>
        <v>5547</v>
      </c>
      <c r="R11" s="166">
        <f>SUM(R12:R25)</f>
        <v>4927</v>
      </c>
      <c r="S11" s="166">
        <f>SUM(S12:S25)</f>
        <v>620</v>
      </c>
      <c r="T11" s="166">
        <f>SUM(T12:T25)</f>
        <v>0</v>
      </c>
      <c r="U11" s="166">
        <f t="shared" si="3"/>
        <v>0</v>
      </c>
    </row>
    <row r="12" spans="1:21" ht="20.25" customHeight="1" x14ac:dyDescent="0.2">
      <c r="A12" s="387">
        <v>1</v>
      </c>
      <c r="B12" s="168" t="s">
        <v>259</v>
      </c>
      <c r="C12" s="169">
        <f t="shared" ref="C12:C74" si="4">D12+Q12+U12</f>
        <v>6331.6819999999998</v>
      </c>
      <c r="D12" s="169">
        <f t="shared" ref="D12:D74" si="5">E12+K12+N12+O12+P12</f>
        <v>6331.6819999999998</v>
      </c>
      <c r="E12" s="169">
        <f t="shared" ref="E12:E74" si="6">H12+I12+J12</f>
        <v>0</v>
      </c>
      <c r="F12" s="169"/>
      <c r="G12" s="169"/>
      <c r="H12" s="169"/>
      <c r="I12" s="169"/>
      <c r="J12" s="169"/>
      <c r="K12" s="170">
        <f>100+1437.612+4794.07</f>
        <v>6331.6819999999998</v>
      </c>
      <c r="L12" s="169"/>
      <c r="M12" s="169"/>
      <c r="N12" s="169"/>
      <c r="O12" s="169"/>
      <c r="P12" s="169"/>
      <c r="Q12" s="169">
        <f>SUM(R12:T12)</f>
        <v>0</v>
      </c>
      <c r="R12" s="169"/>
      <c r="S12" s="169"/>
      <c r="T12" s="169"/>
      <c r="U12" s="169"/>
    </row>
    <row r="13" spans="1:21" ht="20.25" customHeight="1" x14ac:dyDescent="0.2">
      <c r="A13" s="387">
        <v>2</v>
      </c>
      <c r="B13" s="168" t="s">
        <v>260</v>
      </c>
      <c r="C13" s="169">
        <f t="shared" si="4"/>
        <v>962.80700000000002</v>
      </c>
      <c r="D13" s="169">
        <f t="shared" si="5"/>
        <v>962.80700000000002</v>
      </c>
      <c r="E13" s="169">
        <f t="shared" si="6"/>
        <v>0</v>
      </c>
      <c r="F13" s="169"/>
      <c r="G13" s="169"/>
      <c r="H13" s="169"/>
      <c r="I13" s="169"/>
      <c r="J13" s="169"/>
      <c r="K13" s="170">
        <f>962.807</f>
        <v>962.80700000000002</v>
      </c>
      <c r="L13" s="169"/>
      <c r="M13" s="169"/>
      <c r="N13" s="169"/>
      <c r="O13" s="169"/>
      <c r="P13" s="169"/>
      <c r="Q13" s="169">
        <f t="shared" ref="Q13:Q74" si="7">SUM(R13:T13)</f>
        <v>0</v>
      </c>
      <c r="R13" s="169"/>
      <c r="S13" s="169"/>
      <c r="T13" s="169"/>
      <c r="U13" s="169"/>
    </row>
    <row r="14" spans="1:21" ht="20.25" customHeight="1" x14ac:dyDescent="0.2">
      <c r="A14" s="387">
        <v>3</v>
      </c>
      <c r="B14" s="168" t="s">
        <v>261</v>
      </c>
      <c r="C14" s="169">
        <f t="shared" si="4"/>
        <v>912.13</v>
      </c>
      <c r="D14" s="169">
        <f>E14+K14+N14+O14+P14</f>
        <v>912.13</v>
      </c>
      <c r="E14" s="169">
        <f t="shared" si="6"/>
        <v>0</v>
      </c>
      <c r="F14" s="169"/>
      <c r="G14" s="169"/>
      <c r="H14" s="169"/>
      <c r="I14" s="169"/>
      <c r="J14" s="169"/>
      <c r="K14" s="170">
        <f>912.13</f>
        <v>912.13</v>
      </c>
      <c r="L14" s="169"/>
      <c r="M14" s="169"/>
      <c r="N14" s="169"/>
      <c r="O14" s="169"/>
      <c r="P14" s="169"/>
      <c r="Q14" s="169">
        <f t="shared" si="7"/>
        <v>0</v>
      </c>
      <c r="R14" s="169"/>
      <c r="S14" s="169"/>
      <c r="T14" s="169"/>
      <c r="U14" s="169"/>
    </row>
    <row r="15" spans="1:21" ht="20.25" customHeight="1" x14ac:dyDescent="0.2">
      <c r="A15" s="387">
        <v>4</v>
      </c>
      <c r="B15" s="168" t="s">
        <v>262</v>
      </c>
      <c r="C15" s="169">
        <f>D15+Q15+U15</f>
        <v>2142.4580000000001</v>
      </c>
      <c r="D15" s="169">
        <f t="shared" si="5"/>
        <v>1522.4580000000001</v>
      </c>
      <c r="E15" s="169">
        <f t="shared" si="6"/>
        <v>0</v>
      </c>
      <c r="F15" s="169"/>
      <c r="G15" s="169"/>
      <c r="H15" s="169"/>
      <c r="I15" s="169"/>
      <c r="J15" s="169"/>
      <c r="K15" s="170">
        <f>150+150+1260+582.458-620</f>
        <v>1522.4580000000001</v>
      </c>
      <c r="L15" s="169"/>
      <c r="M15" s="169"/>
      <c r="N15" s="169"/>
      <c r="O15" s="169"/>
      <c r="P15" s="169"/>
      <c r="Q15" s="169">
        <f t="shared" si="7"/>
        <v>620</v>
      </c>
      <c r="R15" s="169"/>
      <c r="S15" s="169">
        <v>620</v>
      </c>
      <c r="T15" s="169"/>
      <c r="U15" s="169"/>
    </row>
    <row r="16" spans="1:21" ht="20.25" customHeight="1" x14ac:dyDescent="0.2">
      <c r="A16" s="387">
        <v>5</v>
      </c>
      <c r="B16" s="168" t="s">
        <v>263</v>
      </c>
      <c r="C16" s="169">
        <f t="shared" si="4"/>
        <v>1203.2909999999999</v>
      </c>
      <c r="D16" s="169">
        <f t="shared" si="5"/>
        <v>1203.2909999999999</v>
      </c>
      <c r="E16" s="169">
        <f t="shared" si="6"/>
        <v>0</v>
      </c>
      <c r="F16" s="169"/>
      <c r="G16" s="169"/>
      <c r="H16" s="169"/>
      <c r="I16" s="169"/>
      <c r="J16" s="169"/>
      <c r="K16" s="170">
        <f>1203.291</f>
        <v>1203.2909999999999</v>
      </c>
      <c r="L16" s="169"/>
      <c r="M16" s="169"/>
      <c r="N16" s="169"/>
      <c r="O16" s="169"/>
      <c r="P16" s="169"/>
      <c r="Q16" s="169">
        <f t="shared" si="7"/>
        <v>0</v>
      </c>
      <c r="R16" s="169"/>
      <c r="S16" s="169"/>
      <c r="T16" s="169"/>
      <c r="U16" s="169"/>
    </row>
    <row r="17" spans="1:21" ht="20.25" customHeight="1" x14ac:dyDescent="0.2">
      <c r="A17" s="387">
        <v>6</v>
      </c>
      <c r="B17" s="168" t="s">
        <v>264</v>
      </c>
      <c r="C17" s="169">
        <f t="shared" si="4"/>
        <v>4033.7200000000003</v>
      </c>
      <c r="D17" s="169">
        <f t="shared" si="5"/>
        <v>933.72</v>
      </c>
      <c r="E17" s="169">
        <f t="shared" si="6"/>
        <v>0</v>
      </c>
      <c r="F17" s="169"/>
      <c r="G17" s="169"/>
      <c r="H17" s="169"/>
      <c r="I17" s="169"/>
      <c r="J17" s="169"/>
      <c r="K17" s="170">
        <v>933.72</v>
      </c>
      <c r="L17" s="169"/>
      <c r="M17" s="169"/>
      <c r="N17" s="169"/>
      <c r="O17" s="169"/>
      <c r="P17" s="169"/>
      <c r="Q17" s="169">
        <f t="shared" si="7"/>
        <v>3100</v>
      </c>
      <c r="R17" s="169">
        <v>3100</v>
      </c>
      <c r="S17" s="169"/>
      <c r="T17" s="169"/>
      <c r="U17" s="169"/>
    </row>
    <row r="18" spans="1:21" ht="20.25" customHeight="1" x14ac:dyDescent="0.2">
      <c r="A18" s="387">
        <v>7</v>
      </c>
      <c r="B18" s="168" t="s">
        <v>265</v>
      </c>
      <c r="C18" s="169">
        <f t="shared" si="4"/>
        <v>439.96800000000002</v>
      </c>
      <c r="D18" s="169">
        <f t="shared" si="5"/>
        <v>439.96800000000002</v>
      </c>
      <c r="E18" s="169">
        <f t="shared" si="6"/>
        <v>0</v>
      </c>
      <c r="F18" s="169"/>
      <c r="G18" s="169"/>
      <c r="H18" s="169"/>
      <c r="I18" s="169"/>
      <c r="J18" s="169"/>
      <c r="K18" s="170">
        <v>439.96800000000002</v>
      </c>
      <c r="L18" s="169"/>
      <c r="M18" s="169"/>
      <c r="N18" s="169"/>
      <c r="O18" s="169"/>
      <c r="P18" s="169"/>
      <c r="Q18" s="169">
        <f t="shared" si="7"/>
        <v>0</v>
      </c>
      <c r="R18" s="169"/>
      <c r="S18" s="169"/>
      <c r="T18" s="169"/>
      <c r="U18" s="169"/>
    </row>
    <row r="19" spans="1:21" ht="20.25" customHeight="1" x14ac:dyDescent="0.2">
      <c r="A19" s="387">
        <v>8</v>
      </c>
      <c r="B19" s="168" t="s">
        <v>266</v>
      </c>
      <c r="C19" s="169">
        <f t="shared" si="4"/>
        <v>18066.699999999997</v>
      </c>
      <c r="D19" s="169">
        <f t="shared" si="5"/>
        <v>18066.699999999997</v>
      </c>
      <c r="E19" s="169">
        <f t="shared" si="6"/>
        <v>0</v>
      </c>
      <c r="F19" s="169"/>
      <c r="G19" s="169"/>
      <c r="H19" s="169"/>
      <c r="I19" s="169"/>
      <c r="J19" s="169"/>
      <c r="K19" s="170">
        <f>91+941+65+14626.78+1376+966.92</f>
        <v>18066.699999999997</v>
      </c>
      <c r="L19" s="169"/>
      <c r="M19" s="169"/>
      <c r="N19" s="169"/>
      <c r="O19" s="169"/>
      <c r="P19" s="169"/>
      <c r="Q19" s="169">
        <f t="shared" si="7"/>
        <v>0</v>
      </c>
      <c r="R19" s="169"/>
      <c r="S19" s="169"/>
      <c r="T19" s="169"/>
      <c r="U19" s="169"/>
    </row>
    <row r="20" spans="1:21" ht="20.25" customHeight="1" x14ac:dyDescent="0.2">
      <c r="A20" s="387">
        <v>9</v>
      </c>
      <c r="B20" s="168" t="s">
        <v>267</v>
      </c>
      <c r="C20" s="169">
        <f t="shared" si="4"/>
        <v>698.33999999999992</v>
      </c>
      <c r="D20" s="169">
        <f t="shared" si="5"/>
        <v>698.33999999999992</v>
      </c>
      <c r="E20" s="169">
        <f t="shared" si="6"/>
        <v>0</v>
      </c>
      <c r="F20" s="169"/>
      <c r="G20" s="169"/>
      <c r="H20" s="169"/>
      <c r="I20" s="169"/>
      <c r="J20" s="169"/>
      <c r="K20" s="170">
        <f>150+40+508.34</f>
        <v>698.33999999999992</v>
      </c>
      <c r="L20" s="169"/>
      <c r="M20" s="169"/>
      <c r="N20" s="169"/>
      <c r="O20" s="169"/>
      <c r="P20" s="169"/>
      <c r="Q20" s="169">
        <f t="shared" si="7"/>
        <v>0</v>
      </c>
      <c r="R20" s="169"/>
      <c r="S20" s="169"/>
      <c r="T20" s="169"/>
      <c r="U20" s="169"/>
    </row>
    <row r="21" spans="1:21" ht="20.25" customHeight="1" x14ac:dyDescent="0.2">
      <c r="A21" s="387">
        <v>10</v>
      </c>
      <c r="B21" s="168" t="s">
        <v>268</v>
      </c>
      <c r="C21" s="169">
        <f>D21+Q21+U21</f>
        <v>4099.7280000000001</v>
      </c>
      <c r="D21" s="169">
        <f>E21+K21+N21+O21+P21</f>
        <v>2272.7280000000001</v>
      </c>
      <c r="E21" s="169">
        <f t="shared" si="6"/>
        <v>1271</v>
      </c>
      <c r="F21" s="169"/>
      <c r="G21" s="169"/>
      <c r="H21" s="169"/>
      <c r="I21" s="169"/>
      <c r="J21" s="169">
        <f>1731-460</f>
        <v>1271</v>
      </c>
      <c r="K21" s="170">
        <f>50+951.728</f>
        <v>1001.728</v>
      </c>
      <c r="L21" s="169"/>
      <c r="M21" s="169"/>
      <c r="N21" s="169"/>
      <c r="O21" s="169"/>
      <c r="P21" s="169"/>
      <c r="Q21" s="169">
        <f t="shared" si="7"/>
        <v>1827</v>
      </c>
      <c r="R21" s="169">
        <v>1827</v>
      </c>
      <c r="S21" s="169"/>
      <c r="T21" s="169"/>
      <c r="U21" s="169"/>
    </row>
    <row r="22" spans="1:21" ht="20.25" customHeight="1" x14ac:dyDescent="0.2">
      <c r="A22" s="387">
        <v>11</v>
      </c>
      <c r="B22" s="168" t="s">
        <v>269</v>
      </c>
      <c r="C22" s="169">
        <f t="shared" si="4"/>
        <v>2025.84</v>
      </c>
      <c r="D22" s="169">
        <f t="shared" si="5"/>
        <v>2025.84</v>
      </c>
      <c r="E22" s="169">
        <f t="shared" si="6"/>
        <v>0</v>
      </c>
      <c r="F22" s="169"/>
      <c r="G22" s="169"/>
      <c r="H22" s="169"/>
      <c r="I22" s="169"/>
      <c r="J22" s="169"/>
      <c r="K22" s="171">
        <v>2025.84</v>
      </c>
      <c r="L22" s="169"/>
      <c r="M22" s="169"/>
      <c r="N22" s="169"/>
      <c r="O22" s="169"/>
      <c r="P22" s="169"/>
      <c r="Q22" s="169">
        <f t="shared" si="7"/>
        <v>0</v>
      </c>
      <c r="R22" s="169"/>
      <c r="S22" s="169"/>
      <c r="T22" s="169"/>
      <c r="U22" s="169"/>
    </row>
    <row r="23" spans="1:21" ht="20.25" customHeight="1" x14ac:dyDescent="0.2">
      <c r="A23" s="387">
        <v>12</v>
      </c>
      <c r="B23" s="168" t="s">
        <v>270</v>
      </c>
      <c r="C23" s="169">
        <f t="shared" si="4"/>
        <v>909.27</v>
      </c>
      <c r="D23" s="169">
        <f t="shared" si="5"/>
        <v>909.27</v>
      </c>
      <c r="E23" s="169">
        <f t="shared" si="6"/>
        <v>0</v>
      </c>
      <c r="F23" s="169"/>
      <c r="G23" s="169"/>
      <c r="H23" s="169"/>
      <c r="I23" s="169"/>
      <c r="J23" s="169"/>
      <c r="K23" s="169">
        <v>909.27</v>
      </c>
      <c r="L23" s="169"/>
      <c r="M23" s="169"/>
      <c r="N23" s="169"/>
      <c r="O23" s="169"/>
      <c r="P23" s="169"/>
      <c r="Q23" s="169">
        <f t="shared" si="7"/>
        <v>0</v>
      </c>
      <c r="R23" s="169"/>
      <c r="S23" s="169"/>
      <c r="T23" s="169"/>
      <c r="U23" s="169"/>
    </row>
    <row r="24" spans="1:21" ht="20.25" customHeight="1" x14ac:dyDescent="0.2">
      <c r="A24" s="387">
        <v>13</v>
      </c>
      <c r="B24" s="168" t="s">
        <v>271</v>
      </c>
      <c r="C24" s="169">
        <f t="shared" si="4"/>
        <v>650.19100000000003</v>
      </c>
      <c r="D24" s="169">
        <f t="shared" si="5"/>
        <v>650.19100000000003</v>
      </c>
      <c r="E24" s="169">
        <f t="shared" si="6"/>
        <v>0</v>
      </c>
      <c r="F24" s="169"/>
      <c r="G24" s="169"/>
      <c r="H24" s="169"/>
      <c r="I24" s="169"/>
      <c r="J24" s="169"/>
      <c r="K24" s="169">
        <v>650.19100000000003</v>
      </c>
      <c r="L24" s="169"/>
      <c r="M24" s="169"/>
      <c r="N24" s="169"/>
      <c r="O24" s="169"/>
      <c r="P24" s="169"/>
      <c r="Q24" s="169">
        <f t="shared" si="7"/>
        <v>0</v>
      </c>
      <c r="R24" s="169"/>
      <c r="S24" s="169"/>
      <c r="T24" s="169"/>
      <c r="U24" s="169"/>
    </row>
    <row r="25" spans="1:21" ht="20.25" hidden="1" customHeight="1" x14ac:dyDescent="0.2">
      <c r="A25" s="387">
        <v>14</v>
      </c>
      <c r="B25" s="168"/>
      <c r="C25" s="169">
        <f t="shared" si="4"/>
        <v>0</v>
      </c>
      <c r="D25" s="169">
        <f t="shared" si="5"/>
        <v>0</v>
      </c>
      <c r="E25" s="169">
        <f t="shared" si="6"/>
        <v>0</v>
      </c>
      <c r="F25" s="169"/>
      <c r="G25" s="169"/>
      <c r="H25" s="169"/>
      <c r="I25" s="169"/>
      <c r="J25" s="169"/>
      <c r="K25" s="169"/>
      <c r="L25" s="169"/>
      <c r="M25" s="169"/>
      <c r="N25" s="169"/>
      <c r="O25" s="169"/>
      <c r="P25" s="169"/>
      <c r="Q25" s="169">
        <f t="shared" si="7"/>
        <v>0</v>
      </c>
      <c r="R25" s="169"/>
      <c r="S25" s="169"/>
      <c r="T25" s="169"/>
      <c r="U25" s="169"/>
    </row>
    <row r="26" spans="1:21" s="163" customFormat="1" ht="20.25" customHeight="1" x14ac:dyDescent="0.2">
      <c r="A26" s="386" t="s">
        <v>160</v>
      </c>
      <c r="B26" s="165" t="s">
        <v>272</v>
      </c>
      <c r="C26" s="166">
        <f t="shared" ref="C26:U26" si="8">SUM(C27:C33)</f>
        <v>17679.660000000003</v>
      </c>
      <c r="D26" s="166">
        <f t="shared" si="8"/>
        <v>17679.660000000003</v>
      </c>
      <c r="E26" s="166">
        <f t="shared" si="8"/>
        <v>6200</v>
      </c>
      <c r="F26" s="166">
        <f t="shared" si="8"/>
        <v>0</v>
      </c>
      <c r="G26" s="166">
        <f t="shared" si="8"/>
        <v>0</v>
      </c>
      <c r="H26" s="166">
        <f t="shared" si="8"/>
        <v>3000</v>
      </c>
      <c r="I26" s="166">
        <f t="shared" si="8"/>
        <v>0</v>
      </c>
      <c r="J26" s="166">
        <f t="shared" si="8"/>
        <v>3200</v>
      </c>
      <c r="K26" s="166">
        <f t="shared" si="8"/>
        <v>11479.66</v>
      </c>
      <c r="L26" s="166">
        <f t="shared" si="8"/>
        <v>0</v>
      </c>
      <c r="M26" s="166">
        <f t="shared" si="8"/>
        <v>0</v>
      </c>
      <c r="N26" s="166">
        <f t="shared" si="8"/>
        <v>0</v>
      </c>
      <c r="O26" s="166">
        <f t="shared" si="8"/>
        <v>0</v>
      </c>
      <c r="P26" s="166">
        <f t="shared" si="8"/>
        <v>0</v>
      </c>
      <c r="Q26" s="166">
        <f t="shared" si="8"/>
        <v>0</v>
      </c>
      <c r="R26" s="166">
        <f t="shared" si="8"/>
        <v>0</v>
      </c>
      <c r="S26" s="166">
        <f t="shared" si="8"/>
        <v>0</v>
      </c>
      <c r="T26" s="166">
        <f t="shared" si="8"/>
        <v>0</v>
      </c>
      <c r="U26" s="166">
        <f t="shared" si="8"/>
        <v>0</v>
      </c>
    </row>
    <row r="27" spans="1:21" ht="20.25" customHeight="1" x14ac:dyDescent="0.2">
      <c r="A27" s="387">
        <v>1</v>
      </c>
      <c r="B27" s="168" t="s">
        <v>273</v>
      </c>
      <c r="C27" s="169">
        <f t="shared" si="4"/>
        <v>14720.552</v>
      </c>
      <c r="D27" s="169">
        <f t="shared" si="5"/>
        <v>14720.552</v>
      </c>
      <c r="E27" s="169">
        <f t="shared" si="6"/>
        <v>6200</v>
      </c>
      <c r="F27" s="169"/>
      <c r="G27" s="169"/>
      <c r="H27" s="169">
        <v>3000</v>
      </c>
      <c r="I27" s="169"/>
      <c r="J27" s="169">
        <v>3200</v>
      </c>
      <c r="K27" s="170">
        <f>7970.552+550</f>
        <v>8520.5519999999997</v>
      </c>
      <c r="L27" s="169"/>
      <c r="M27" s="169"/>
      <c r="N27" s="169"/>
      <c r="O27" s="169"/>
      <c r="P27" s="169"/>
      <c r="Q27" s="169">
        <f t="shared" si="7"/>
        <v>0</v>
      </c>
      <c r="R27" s="169"/>
      <c r="S27" s="169"/>
      <c r="T27" s="169"/>
      <c r="U27" s="169"/>
    </row>
    <row r="28" spans="1:21" ht="20.25" customHeight="1" x14ac:dyDescent="0.2">
      <c r="A28" s="387">
        <v>2</v>
      </c>
      <c r="B28" s="168" t="s">
        <v>274</v>
      </c>
      <c r="C28" s="169">
        <f t="shared" si="4"/>
        <v>644.47400000000005</v>
      </c>
      <c r="D28" s="169">
        <f t="shared" si="5"/>
        <v>644.47400000000005</v>
      </c>
      <c r="E28" s="169">
        <f t="shared" si="6"/>
        <v>0</v>
      </c>
      <c r="F28" s="169"/>
      <c r="G28" s="169"/>
      <c r="H28" s="169"/>
      <c r="I28" s="169"/>
      <c r="J28" s="169"/>
      <c r="K28" s="170">
        <v>644.47400000000005</v>
      </c>
      <c r="L28" s="169"/>
      <c r="M28" s="169"/>
      <c r="N28" s="169"/>
      <c r="O28" s="169"/>
      <c r="P28" s="169"/>
      <c r="Q28" s="169">
        <f t="shared" si="7"/>
        <v>0</v>
      </c>
      <c r="R28" s="169"/>
      <c r="S28" s="169"/>
      <c r="T28" s="169"/>
      <c r="U28" s="169"/>
    </row>
    <row r="29" spans="1:21" ht="20.25" customHeight="1" x14ac:dyDescent="0.2">
      <c r="A29" s="387">
        <v>3</v>
      </c>
      <c r="B29" s="168" t="s">
        <v>275</v>
      </c>
      <c r="C29" s="169">
        <f t="shared" si="4"/>
        <v>699.55899999999997</v>
      </c>
      <c r="D29" s="169">
        <f t="shared" si="5"/>
        <v>699.55899999999997</v>
      </c>
      <c r="E29" s="169">
        <f t="shared" si="6"/>
        <v>0</v>
      </c>
      <c r="F29" s="169"/>
      <c r="G29" s="169"/>
      <c r="H29" s="169"/>
      <c r="I29" s="169"/>
      <c r="J29" s="169"/>
      <c r="K29" s="170">
        <v>699.55899999999997</v>
      </c>
      <c r="L29" s="169"/>
      <c r="M29" s="169"/>
      <c r="N29" s="169"/>
      <c r="O29" s="169"/>
      <c r="P29" s="169"/>
      <c r="Q29" s="169">
        <f t="shared" si="7"/>
        <v>0</v>
      </c>
      <c r="R29" s="169"/>
      <c r="S29" s="169"/>
      <c r="T29" s="169"/>
      <c r="U29" s="169"/>
    </row>
    <row r="30" spans="1:21" ht="20.25" customHeight="1" x14ac:dyDescent="0.2">
      <c r="A30" s="387">
        <v>4</v>
      </c>
      <c r="B30" s="168" t="s">
        <v>276</v>
      </c>
      <c r="C30" s="169">
        <f t="shared" si="4"/>
        <v>592.98800000000006</v>
      </c>
      <c r="D30" s="169">
        <f t="shared" si="5"/>
        <v>592.98800000000006</v>
      </c>
      <c r="E30" s="169">
        <f t="shared" si="6"/>
        <v>0</v>
      </c>
      <c r="F30" s="169"/>
      <c r="G30" s="169"/>
      <c r="H30" s="169"/>
      <c r="I30" s="169"/>
      <c r="J30" s="169"/>
      <c r="K30" s="170">
        <v>592.98800000000006</v>
      </c>
      <c r="L30" s="169"/>
      <c r="M30" s="169"/>
      <c r="N30" s="169"/>
      <c r="O30" s="169"/>
      <c r="P30" s="169"/>
      <c r="Q30" s="169">
        <f t="shared" si="7"/>
        <v>0</v>
      </c>
      <c r="R30" s="169"/>
      <c r="S30" s="169"/>
      <c r="T30" s="169"/>
      <c r="U30" s="169"/>
    </row>
    <row r="31" spans="1:21" ht="20.25" customHeight="1" x14ac:dyDescent="0.2">
      <c r="A31" s="387">
        <v>5</v>
      </c>
      <c r="B31" s="168" t="s">
        <v>277</v>
      </c>
      <c r="C31" s="169">
        <f t="shared" si="4"/>
        <v>465.2</v>
      </c>
      <c r="D31" s="169">
        <f t="shared" si="5"/>
        <v>465.2</v>
      </c>
      <c r="E31" s="169">
        <f t="shared" si="6"/>
        <v>0</v>
      </c>
      <c r="F31" s="169"/>
      <c r="G31" s="169"/>
      <c r="H31" s="169"/>
      <c r="I31" s="169"/>
      <c r="J31" s="169"/>
      <c r="K31" s="170">
        <f>465.2</f>
        <v>465.2</v>
      </c>
      <c r="L31" s="169"/>
      <c r="M31" s="169"/>
      <c r="N31" s="169"/>
      <c r="O31" s="169"/>
      <c r="P31" s="169"/>
      <c r="Q31" s="169">
        <f t="shared" si="7"/>
        <v>0</v>
      </c>
      <c r="R31" s="169"/>
      <c r="S31" s="169"/>
      <c r="T31" s="169"/>
      <c r="U31" s="169"/>
    </row>
    <row r="32" spans="1:21" ht="20.25" customHeight="1" x14ac:dyDescent="0.2">
      <c r="A32" s="387">
        <v>6</v>
      </c>
      <c r="B32" s="168" t="s">
        <v>278</v>
      </c>
      <c r="C32" s="169">
        <f t="shared" si="4"/>
        <v>436.18700000000001</v>
      </c>
      <c r="D32" s="169">
        <f t="shared" si="5"/>
        <v>436.18700000000001</v>
      </c>
      <c r="E32" s="169">
        <f t="shared" si="6"/>
        <v>0</v>
      </c>
      <c r="F32" s="169"/>
      <c r="G32" s="169"/>
      <c r="H32" s="169"/>
      <c r="I32" s="169"/>
      <c r="J32" s="169"/>
      <c r="K32" s="170">
        <v>436.18700000000001</v>
      </c>
      <c r="L32" s="169"/>
      <c r="M32" s="169"/>
      <c r="N32" s="169"/>
      <c r="O32" s="169"/>
      <c r="P32" s="169"/>
      <c r="Q32" s="169">
        <f t="shared" si="7"/>
        <v>0</v>
      </c>
      <c r="R32" s="169"/>
      <c r="S32" s="169"/>
      <c r="T32" s="169"/>
      <c r="U32" s="169"/>
    </row>
    <row r="33" spans="1:21" ht="20.25" customHeight="1" x14ac:dyDescent="0.2">
      <c r="A33" s="387">
        <v>8</v>
      </c>
      <c r="B33" s="168" t="s">
        <v>279</v>
      </c>
      <c r="C33" s="169">
        <f t="shared" si="4"/>
        <v>120.7</v>
      </c>
      <c r="D33" s="169">
        <f t="shared" si="5"/>
        <v>120.7</v>
      </c>
      <c r="E33" s="169">
        <f t="shared" si="6"/>
        <v>0</v>
      </c>
      <c r="F33" s="169"/>
      <c r="G33" s="169"/>
      <c r="H33" s="169"/>
      <c r="I33" s="169"/>
      <c r="J33" s="169"/>
      <c r="K33" s="170">
        <v>120.7</v>
      </c>
      <c r="L33" s="169"/>
      <c r="M33" s="169"/>
      <c r="N33" s="169"/>
      <c r="O33" s="169"/>
      <c r="P33" s="169"/>
      <c r="Q33" s="169">
        <f t="shared" si="7"/>
        <v>0</v>
      </c>
      <c r="R33" s="169"/>
      <c r="S33" s="169"/>
      <c r="T33" s="169"/>
      <c r="U33" s="169"/>
    </row>
    <row r="34" spans="1:21" s="163" customFormat="1" ht="20.25" customHeight="1" x14ac:dyDescent="0.2">
      <c r="A34" s="386" t="s">
        <v>189</v>
      </c>
      <c r="B34" s="165" t="s">
        <v>282</v>
      </c>
      <c r="C34" s="166">
        <f>SUM(C35:C43)</f>
        <v>301509.41199999995</v>
      </c>
      <c r="D34" s="166">
        <f t="shared" ref="D34:U34" si="9">SUM(D35:D43)</f>
        <v>299009.41199999995</v>
      </c>
      <c r="E34" s="166">
        <f t="shared" si="9"/>
        <v>80953</v>
      </c>
      <c r="F34" s="166">
        <f t="shared" si="9"/>
        <v>0</v>
      </c>
      <c r="G34" s="166">
        <f t="shared" si="9"/>
        <v>0</v>
      </c>
      <c r="H34" s="166">
        <f t="shared" si="9"/>
        <v>4832</v>
      </c>
      <c r="I34" s="166">
        <f t="shared" si="9"/>
        <v>0</v>
      </c>
      <c r="J34" s="166">
        <f t="shared" si="9"/>
        <v>76121</v>
      </c>
      <c r="K34" s="166">
        <f t="shared" si="9"/>
        <v>218056.41200000001</v>
      </c>
      <c r="L34" s="166">
        <f t="shared" si="9"/>
        <v>0</v>
      </c>
      <c r="M34" s="166">
        <f t="shared" si="9"/>
        <v>0</v>
      </c>
      <c r="N34" s="166">
        <f t="shared" si="9"/>
        <v>0</v>
      </c>
      <c r="O34" s="166">
        <f t="shared" si="9"/>
        <v>0</v>
      </c>
      <c r="P34" s="166">
        <f t="shared" si="9"/>
        <v>0</v>
      </c>
      <c r="Q34" s="166">
        <f t="shared" si="9"/>
        <v>2500</v>
      </c>
      <c r="R34" s="166">
        <f t="shared" si="9"/>
        <v>2500</v>
      </c>
      <c r="S34" s="166">
        <f t="shared" si="9"/>
        <v>0</v>
      </c>
      <c r="T34" s="166">
        <f t="shared" si="9"/>
        <v>0</v>
      </c>
      <c r="U34" s="166">
        <f t="shared" si="9"/>
        <v>0</v>
      </c>
    </row>
    <row r="35" spans="1:21" ht="20.25" customHeight="1" x14ac:dyDescent="0.2">
      <c r="A35" s="387">
        <v>1</v>
      </c>
      <c r="B35" s="168" t="s">
        <v>280</v>
      </c>
      <c r="C35" s="169">
        <f t="shared" ref="C35" si="10">D35+Q35+U35</f>
        <v>194224.48</v>
      </c>
      <c r="D35" s="169">
        <f t="shared" ref="D35" si="11">E35+K35+N35+O35+P35</f>
        <v>194224.48</v>
      </c>
      <c r="E35" s="169">
        <f>H35+I35+J35</f>
        <v>0</v>
      </c>
      <c r="F35" s="169"/>
      <c r="G35" s="169"/>
      <c r="H35" s="169"/>
      <c r="I35" s="169"/>
      <c r="J35" s="169"/>
      <c r="K35" s="170">
        <f>194315.48-91</f>
        <v>194224.48</v>
      </c>
      <c r="L35" s="169"/>
      <c r="M35" s="169"/>
      <c r="N35" s="169"/>
      <c r="O35" s="169"/>
      <c r="P35" s="169"/>
      <c r="Q35" s="169">
        <f t="shared" ref="Q35" si="12">SUM(R35:T35)</f>
        <v>0</v>
      </c>
      <c r="R35" s="169"/>
      <c r="S35" s="169"/>
      <c r="T35" s="169"/>
      <c r="U35" s="169"/>
    </row>
    <row r="36" spans="1:21" ht="20.25" customHeight="1" x14ac:dyDescent="0.2">
      <c r="A36" s="387">
        <v>1</v>
      </c>
      <c r="B36" s="168" t="s">
        <v>280</v>
      </c>
      <c r="C36" s="169">
        <f t="shared" si="4"/>
        <v>802.71</v>
      </c>
      <c r="D36" s="169">
        <f t="shared" si="5"/>
        <v>802.71</v>
      </c>
      <c r="E36" s="169">
        <f>H36+I36+J36</f>
        <v>0</v>
      </c>
      <c r="F36" s="169"/>
      <c r="G36" s="169"/>
      <c r="H36" s="169"/>
      <c r="I36" s="169"/>
      <c r="J36" s="169"/>
      <c r="K36" s="169">
        <v>802.71</v>
      </c>
      <c r="L36" s="169"/>
      <c r="M36" s="169"/>
      <c r="N36" s="169"/>
      <c r="O36" s="169"/>
      <c r="P36" s="169"/>
      <c r="Q36" s="169">
        <f t="shared" si="7"/>
        <v>0</v>
      </c>
      <c r="R36" s="169"/>
      <c r="S36" s="169"/>
      <c r="T36" s="169"/>
      <c r="U36" s="169"/>
    </row>
    <row r="37" spans="1:21" ht="20.25" customHeight="1" x14ac:dyDescent="0.2">
      <c r="A37" s="387">
        <v>2</v>
      </c>
      <c r="B37" s="168" t="s">
        <v>397</v>
      </c>
      <c r="C37" s="169">
        <f t="shared" si="4"/>
        <v>2613</v>
      </c>
      <c r="D37" s="169">
        <f t="shared" si="5"/>
        <v>2613</v>
      </c>
      <c r="E37" s="169">
        <f t="shared" si="6"/>
        <v>0</v>
      </c>
      <c r="F37" s="169"/>
      <c r="G37" s="169"/>
      <c r="H37" s="169"/>
      <c r="I37" s="169"/>
      <c r="J37" s="169"/>
      <c r="K37" s="171">
        <f>2613</f>
        <v>2613</v>
      </c>
      <c r="L37" s="169"/>
      <c r="M37" s="169"/>
      <c r="N37" s="169"/>
      <c r="O37" s="169"/>
      <c r="P37" s="169"/>
      <c r="Q37" s="169">
        <f t="shared" si="7"/>
        <v>0</v>
      </c>
      <c r="R37" s="169"/>
      <c r="S37" s="169"/>
      <c r="T37" s="169"/>
      <c r="U37" s="169"/>
    </row>
    <row r="38" spans="1:21" ht="20.25" customHeight="1" x14ac:dyDescent="0.2">
      <c r="A38" s="387">
        <v>3</v>
      </c>
      <c r="B38" s="168" t="s">
        <v>284</v>
      </c>
      <c r="C38" s="169">
        <f>D38+Q38+U38</f>
        <v>1351.81</v>
      </c>
      <c r="D38" s="169">
        <f>E38+K38+N38+O38+P38</f>
        <v>1351.81</v>
      </c>
      <c r="E38" s="169">
        <f>H38+I38+J38</f>
        <v>0</v>
      </c>
      <c r="F38" s="169"/>
      <c r="G38" s="169"/>
      <c r="H38" s="169"/>
      <c r="I38" s="169"/>
      <c r="J38" s="169"/>
      <c r="K38" s="169">
        <v>1351.81</v>
      </c>
      <c r="L38" s="169"/>
      <c r="M38" s="169"/>
      <c r="N38" s="169"/>
      <c r="O38" s="169"/>
      <c r="P38" s="169"/>
      <c r="Q38" s="169">
        <f t="shared" si="7"/>
        <v>0</v>
      </c>
      <c r="R38" s="169"/>
      <c r="S38" s="169"/>
      <c r="T38" s="169"/>
      <c r="U38" s="169"/>
    </row>
    <row r="39" spans="1:21" ht="20.25" customHeight="1" x14ac:dyDescent="0.2">
      <c r="A39" s="387">
        <v>4</v>
      </c>
      <c r="B39" s="168" t="s">
        <v>347</v>
      </c>
      <c r="C39" s="169">
        <f t="shared" si="4"/>
        <v>2213.6219999999998</v>
      </c>
      <c r="D39" s="169">
        <f t="shared" si="5"/>
        <v>2213.6219999999998</v>
      </c>
      <c r="E39" s="169">
        <f t="shared" si="6"/>
        <v>0</v>
      </c>
      <c r="F39" s="169"/>
      <c r="G39" s="169"/>
      <c r="H39" s="169"/>
      <c r="I39" s="169"/>
      <c r="J39" s="169"/>
      <c r="K39" s="172">
        <v>2213.6219999999998</v>
      </c>
      <c r="L39" s="169"/>
      <c r="M39" s="169"/>
      <c r="N39" s="169"/>
      <c r="O39" s="169"/>
      <c r="P39" s="169"/>
      <c r="Q39" s="169">
        <f t="shared" si="7"/>
        <v>0</v>
      </c>
      <c r="R39" s="169"/>
      <c r="S39" s="169"/>
      <c r="T39" s="169"/>
      <c r="U39" s="169"/>
    </row>
    <row r="40" spans="1:21" ht="20.25" customHeight="1" x14ac:dyDescent="0.2">
      <c r="A40" s="387">
        <v>5</v>
      </c>
      <c r="B40" s="168" t="s">
        <v>346</v>
      </c>
      <c r="C40" s="169">
        <f t="shared" si="4"/>
        <v>6949</v>
      </c>
      <c r="D40" s="169">
        <f t="shared" si="5"/>
        <v>6949</v>
      </c>
      <c r="E40" s="169">
        <f t="shared" si="6"/>
        <v>0</v>
      </c>
      <c r="F40" s="169"/>
      <c r="G40" s="169"/>
      <c r="H40" s="169"/>
      <c r="I40" s="169"/>
      <c r="J40" s="169"/>
      <c r="K40" s="172">
        <v>6949</v>
      </c>
      <c r="L40" s="169"/>
      <c r="M40" s="169"/>
      <c r="N40" s="169"/>
      <c r="O40" s="169"/>
      <c r="P40" s="169"/>
      <c r="Q40" s="169">
        <f t="shared" si="7"/>
        <v>0</v>
      </c>
      <c r="R40" s="169"/>
      <c r="S40" s="169"/>
      <c r="T40" s="169"/>
      <c r="U40" s="169"/>
    </row>
    <row r="41" spans="1:21" ht="36.75" customHeight="1" x14ac:dyDescent="0.2">
      <c r="A41" s="387">
        <v>6</v>
      </c>
      <c r="B41" s="168" t="s">
        <v>285</v>
      </c>
      <c r="C41" s="169">
        <f>D41+Q41+U41</f>
        <v>88557</v>
      </c>
      <c r="D41" s="169">
        <f>E41+K41+N41+O41+P41</f>
        <v>86057</v>
      </c>
      <c r="E41" s="169">
        <f>H41+I41+J41</f>
        <v>78532</v>
      </c>
      <c r="F41" s="169"/>
      <c r="G41" s="169"/>
      <c r="H41" s="169">
        <v>4832</v>
      </c>
      <c r="I41" s="169"/>
      <c r="J41" s="169">
        <f>68000+5700</f>
        <v>73700</v>
      </c>
      <c r="K41" s="169">
        <v>7525</v>
      </c>
      <c r="L41" s="169"/>
      <c r="M41" s="169"/>
      <c r="N41" s="169"/>
      <c r="O41" s="169"/>
      <c r="P41" s="169"/>
      <c r="Q41" s="169">
        <f>SUM(R41:T41)</f>
        <v>2500</v>
      </c>
      <c r="R41" s="169">
        <v>2500</v>
      </c>
      <c r="S41" s="169"/>
      <c r="T41" s="169"/>
      <c r="U41" s="169"/>
    </row>
    <row r="42" spans="1:21" ht="33" customHeight="1" x14ac:dyDescent="0.2">
      <c r="A42" s="387">
        <v>9</v>
      </c>
      <c r="B42" s="173" t="s">
        <v>437</v>
      </c>
      <c r="C42" s="169">
        <f t="shared" ref="C42" si="13">D42+Q42+U42</f>
        <v>2421</v>
      </c>
      <c r="D42" s="169">
        <f t="shared" ref="D42" si="14">E42+K42+N42+O42+P42</f>
        <v>2421</v>
      </c>
      <c r="E42" s="169">
        <f t="shared" ref="E42" si="15">H42+I42+J42</f>
        <v>2421</v>
      </c>
      <c r="F42" s="169"/>
      <c r="G42" s="169"/>
      <c r="H42" s="169"/>
      <c r="I42" s="169"/>
      <c r="J42" s="169">
        <v>2421</v>
      </c>
      <c r="K42" s="169"/>
      <c r="L42" s="169"/>
      <c r="M42" s="169"/>
      <c r="N42" s="169"/>
      <c r="O42" s="169"/>
      <c r="P42" s="169"/>
      <c r="Q42" s="169">
        <f t="shared" ref="Q42" si="16">SUM(R42:T42)</f>
        <v>0</v>
      </c>
      <c r="R42" s="169"/>
      <c r="S42" s="169"/>
      <c r="T42" s="169"/>
      <c r="U42" s="169"/>
    </row>
    <row r="43" spans="1:21" ht="33" customHeight="1" x14ac:dyDescent="0.2">
      <c r="A43" s="387">
        <v>9</v>
      </c>
      <c r="B43" s="168" t="s">
        <v>435</v>
      </c>
      <c r="C43" s="169">
        <f t="shared" si="4"/>
        <v>2376.79</v>
      </c>
      <c r="D43" s="169">
        <f t="shared" si="5"/>
        <v>2376.79</v>
      </c>
      <c r="E43" s="169">
        <f t="shared" si="6"/>
        <v>0</v>
      </c>
      <c r="F43" s="169"/>
      <c r="G43" s="169"/>
      <c r="H43" s="169"/>
      <c r="I43" s="169"/>
      <c r="J43" s="169"/>
      <c r="K43" s="170">
        <f>2376.79</f>
        <v>2376.79</v>
      </c>
      <c r="L43" s="169"/>
      <c r="M43" s="169"/>
      <c r="N43" s="169"/>
      <c r="O43" s="169"/>
      <c r="P43" s="169"/>
      <c r="Q43" s="169">
        <f t="shared" si="7"/>
        <v>0</v>
      </c>
      <c r="R43" s="169"/>
      <c r="S43" s="169"/>
      <c r="T43" s="169"/>
      <c r="U43" s="169"/>
    </row>
    <row r="44" spans="1:21" s="163" customFormat="1" ht="20.25" hidden="1" customHeight="1" x14ac:dyDescent="0.2">
      <c r="A44" s="386" t="s">
        <v>191</v>
      </c>
      <c r="B44" s="165" t="s">
        <v>286</v>
      </c>
      <c r="C44" s="166">
        <f>SUM(C45:C55)</f>
        <v>0</v>
      </c>
      <c r="D44" s="166">
        <f t="shared" ref="D44:U44" si="17">SUM(D45:D55)</f>
        <v>0</v>
      </c>
      <c r="E44" s="166">
        <f t="shared" si="17"/>
        <v>0</v>
      </c>
      <c r="F44" s="166">
        <f t="shared" si="17"/>
        <v>0</v>
      </c>
      <c r="G44" s="166">
        <f t="shared" si="17"/>
        <v>0</v>
      </c>
      <c r="H44" s="166">
        <f t="shared" si="17"/>
        <v>0</v>
      </c>
      <c r="I44" s="166">
        <f t="shared" si="17"/>
        <v>0</v>
      </c>
      <c r="J44" s="166">
        <f t="shared" si="17"/>
        <v>0</v>
      </c>
      <c r="K44" s="166">
        <f t="shared" si="17"/>
        <v>0</v>
      </c>
      <c r="L44" s="166">
        <f t="shared" si="17"/>
        <v>0</v>
      </c>
      <c r="M44" s="166">
        <f t="shared" si="17"/>
        <v>0</v>
      </c>
      <c r="N44" s="166">
        <f t="shared" si="17"/>
        <v>0</v>
      </c>
      <c r="O44" s="166">
        <f t="shared" si="17"/>
        <v>0</v>
      </c>
      <c r="P44" s="166">
        <f t="shared" si="17"/>
        <v>0</v>
      </c>
      <c r="Q44" s="166">
        <f>SUM(Q45:Q55)</f>
        <v>0</v>
      </c>
      <c r="R44" s="166">
        <f t="shared" si="17"/>
        <v>0</v>
      </c>
      <c r="S44" s="166">
        <f t="shared" si="17"/>
        <v>0</v>
      </c>
      <c r="T44" s="166">
        <f t="shared" si="17"/>
        <v>0</v>
      </c>
      <c r="U44" s="166">
        <f t="shared" si="17"/>
        <v>0</v>
      </c>
    </row>
    <row r="45" spans="1:21" ht="20.25" hidden="1" customHeight="1" x14ac:dyDescent="0.2">
      <c r="A45" s="387"/>
      <c r="B45" s="168"/>
      <c r="C45" s="169"/>
      <c r="D45" s="169"/>
      <c r="E45" s="169"/>
      <c r="F45" s="169"/>
      <c r="G45" s="169"/>
      <c r="H45" s="169"/>
      <c r="I45" s="169"/>
      <c r="J45" s="169"/>
      <c r="K45" s="169"/>
      <c r="L45" s="169"/>
      <c r="M45" s="169"/>
      <c r="N45" s="169"/>
      <c r="O45" s="169"/>
      <c r="P45" s="169"/>
      <c r="Q45" s="169"/>
      <c r="R45" s="169"/>
      <c r="S45" s="169"/>
      <c r="T45" s="169"/>
      <c r="U45" s="169"/>
    </row>
    <row r="46" spans="1:21" ht="20.25" hidden="1" customHeight="1" x14ac:dyDescent="0.2">
      <c r="A46" s="387"/>
      <c r="B46" s="168"/>
      <c r="C46" s="169"/>
      <c r="D46" s="169"/>
      <c r="E46" s="169"/>
      <c r="F46" s="169"/>
      <c r="G46" s="169"/>
      <c r="H46" s="169"/>
      <c r="I46" s="169"/>
      <c r="J46" s="169"/>
      <c r="K46" s="169"/>
      <c r="L46" s="169"/>
      <c r="M46" s="169"/>
      <c r="N46" s="169"/>
      <c r="O46" s="169"/>
      <c r="P46" s="169"/>
      <c r="Q46" s="169"/>
      <c r="R46" s="169"/>
      <c r="S46" s="169"/>
      <c r="T46" s="169"/>
      <c r="U46" s="169"/>
    </row>
    <row r="47" spans="1:21" ht="20.25" hidden="1" customHeight="1" x14ac:dyDescent="0.2">
      <c r="A47" s="387"/>
      <c r="B47" s="168"/>
      <c r="C47" s="169"/>
      <c r="D47" s="169"/>
      <c r="E47" s="169"/>
      <c r="F47" s="169"/>
      <c r="G47" s="169"/>
      <c r="H47" s="169"/>
      <c r="I47" s="169"/>
      <c r="J47" s="169"/>
      <c r="K47" s="169"/>
      <c r="L47" s="169"/>
      <c r="M47" s="169"/>
      <c r="N47" s="169"/>
      <c r="O47" s="169"/>
      <c r="P47" s="169"/>
      <c r="Q47" s="169"/>
      <c r="R47" s="169"/>
      <c r="S47" s="169"/>
      <c r="T47" s="169"/>
      <c r="U47" s="169"/>
    </row>
    <row r="48" spans="1:21" ht="20.25" hidden="1" customHeight="1" x14ac:dyDescent="0.2">
      <c r="A48" s="387"/>
      <c r="B48" s="168"/>
      <c r="C48" s="169"/>
      <c r="D48" s="169"/>
      <c r="E48" s="169"/>
      <c r="F48" s="169"/>
      <c r="G48" s="169"/>
      <c r="H48" s="169"/>
      <c r="I48" s="169"/>
      <c r="J48" s="169"/>
      <c r="K48" s="169"/>
      <c r="L48" s="169"/>
      <c r="M48" s="169"/>
      <c r="N48" s="169"/>
      <c r="O48" s="169"/>
      <c r="P48" s="169"/>
      <c r="Q48" s="169"/>
      <c r="R48" s="169"/>
      <c r="S48" s="169"/>
      <c r="T48" s="169"/>
      <c r="U48" s="169"/>
    </row>
    <row r="49" spans="1:21" ht="20.25" hidden="1" customHeight="1" x14ac:dyDescent="0.2">
      <c r="A49" s="387"/>
      <c r="B49" s="168"/>
      <c r="C49" s="169"/>
      <c r="D49" s="169"/>
      <c r="E49" s="169"/>
      <c r="F49" s="169"/>
      <c r="G49" s="169"/>
      <c r="H49" s="169"/>
      <c r="I49" s="169"/>
      <c r="J49" s="169"/>
      <c r="K49" s="169"/>
      <c r="L49" s="169"/>
      <c r="M49" s="169"/>
      <c r="N49" s="169"/>
      <c r="O49" s="169"/>
      <c r="P49" s="169"/>
      <c r="Q49" s="169"/>
      <c r="R49" s="169"/>
      <c r="S49" s="169"/>
      <c r="T49" s="169"/>
      <c r="U49" s="169"/>
    </row>
    <row r="50" spans="1:21" ht="20.25" hidden="1" customHeight="1" x14ac:dyDescent="0.2">
      <c r="A50" s="387"/>
      <c r="B50" s="168"/>
      <c r="C50" s="169"/>
      <c r="D50" s="169"/>
      <c r="E50" s="169"/>
      <c r="F50" s="169"/>
      <c r="G50" s="169"/>
      <c r="H50" s="169"/>
      <c r="I50" s="169"/>
      <c r="J50" s="169"/>
      <c r="K50" s="169"/>
      <c r="L50" s="169"/>
      <c r="M50" s="169"/>
      <c r="N50" s="169"/>
      <c r="O50" s="169"/>
      <c r="P50" s="169"/>
      <c r="Q50" s="169"/>
      <c r="R50" s="169"/>
      <c r="S50" s="169"/>
      <c r="T50" s="169"/>
      <c r="U50" s="169"/>
    </row>
    <row r="51" spans="1:21" ht="20.25" hidden="1" customHeight="1" x14ac:dyDescent="0.2">
      <c r="A51" s="387"/>
      <c r="B51" s="168"/>
      <c r="C51" s="169"/>
      <c r="D51" s="169"/>
      <c r="E51" s="169"/>
      <c r="F51" s="169"/>
      <c r="G51" s="169"/>
      <c r="H51" s="169"/>
      <c r="I51" s="169"/>
      <c r="J51" s="169"/>
      <c r="K51" s="169"/>
      <c r="L51" s="169"/>
      <c r="M51" s="169"/>
      <c r="N51" s="169"/>
      <c r="O51" s="169"/>
      <c r="P51" s="169"/>
      <c r="Q51" s="169"/>
      <c r="R51" s="169"/>
      <c r="S51" s="169"/>
      <c r="T51" s="169"/>
      <c r="U51" s="169"/>
    </row>
    <row r="52" spans="1:21" ht="20.25" hidden="1" customHeight="1" x14ac:dyDescent="0.2">
      <c r="A52" s="387"/>
      <c r="B52" s="168"/>
      <c r="C52" s="169"/>
      <c r="D52" s="169"/>
      <c r="E52" s="169"/>
      <c r="F52" s="169"/>
      <c r="G52" s="169"/>
      <c r="H52" s="169"/>
      <c r="I52" s="169"/>
      <c r="J52" s="169"/>
      <c r="K52" s="169"/>
      <c r="L52" s="169"/>
      <c r="M52" s="169"/>
      <c r="N52" s="169"/>
      <c r="O52" s="169"/>
      <c r="P52" s="169"/>
      <c r="Q52" s="169"/>
      <c r="R52" s="169"/>
      <c r="S52" s="169"/>
      <c r="T52" s="169"/>
      <c r="U52" s="169"/>
    </row>
    <row r="53" spans="1:21" ht="20.25" hidden="1" customHeight="1" x14ac:dyDescent="0.2">
      <c r="A53" s="387"/>
      <c r="B53" s="168"/>
      <c r="C53" s="169"/>
      <c r="D53" s="169"/>
      <c r="E53" s="169"/>
      <c r="F53" s="169"/>
      <c r="G53" s="169"/>
      <c r="H53" s="169"/>
      <c r="I53" s="169"/>
      <c r="J53" s="169"/>
      <c r="K53" s="169"/>
      <c r="L53" s="169"/>
      <c r="M53" s="169"/>
      <c r="N53" s="169"/>
      <c r="O53" s="169"/>
      <c r="P53" s="169"/>
      <c r="Q53" s="169"/>
      <c r="R53" s="169"/>
      <c r="S53" s="169"/>
      <c r="T53" s="169"/>
      <c r="U53" s="169"/>
    </row>
    <row r="54" spans="1:21" ht="20.25" hidden="1" customHeight="1" x14ac:dyDescent="0.2">
      <c r="A54" s="387"/>
      <c r="B54" s="168"/>
      <c r="C54" s="169"/>
      <c r="D54" s="169"/>
      <c r="E54" s="169"/>
      <c r="F54" s="169"/>
      <c r="G54" s="169"/>
      <c r="H54" s="169"/>
      <c r="I54" s="169"/>
      <c r="J54" s="169"/>
      <c r="K54" s="169"/>
      <c r="L54" s="169"/>
      <c r="M54" s="169"/>
      <c r="N54" s="169"/>
      <c r="O54" s="169"/>
      <c r="P54" s="169"/>
      <c r="Q54" s="169"/>
      <c r="R54" s="169"/>
      <c r="S54" s="169"/>
      <c r="T54" s="169"/>
      <c r="U54" s="169"/>
    </row>
    <row r="55" spans="1:21" ht="20.25" hidden="1" customHeight="1" x14ac:dyDescent="0.2">
      <c r="A55" s="387"/>
      <c r="B55" s="168"/>
      <c r="C55" s="169"/>
      <c r="D55" s="169"/>
      <c r="E55" s="169"/>
      <c r="F55" s="169"/>
      <c r="G55" s="169"/>
      <c r="H55" s="169"/>
      <c r="I55" s="169"/>
      <c r="J55" s="169"/>
      <c r="K55" s="169"/>
      <c r="L55" s="169"/>
      <c r="M55" s="169"/>
      <c r="N55" s="169"/>
      <c r="O55" s="169"/>
      <c r="P55" s="169"/>
      <c r="Q55" s="169"/>
      <c r="R55" s="169"/>
      <c r="S55" s="169"/>
      <c r="T55" s="169"/>
      <c r="U55" s="169"/>
    </row>
    <row r="56" spans="1:21" ht="20.25" customHeight="1" x14ac:dyDescent="0.2">
      <c r="A56" s="386" t="s">
        <v>191</v>
      </c>
      <c r="B56" s="165" t="s">
        <v>290</v>
      </c>
      <c r="C56" s="166">
        <f t="shared" ref="C56:U56" si="18">SUM(C57:C70)</f>
        <v>5652.7730000000001</v>
      </c>
      <c r="D56" s="166">
        <f t="shared" si="18"/>
        <v>5652.7730000000001</v>
      </c>
      <c r="E56" s="166">
        <f t="shared" si="18"/>
        <v>0</v>
      </c>
      <c r="F56" s="166">
        <f t="shared" si="18"/>
        <v>0</v>
      </c>
      <c r="G56" s="166">
        <f t="shared" si="18"/>
        <v>0</v>
      </c>
      <c r="H56" s="166">
        <f t="shared" si="18"/>
        <v>0</v>
      </c>
      <c r="I56" s="166">
        <f t="shared" si="18"/>
        <v>0</v>
      </c>
      <c r="J56" s="166">
        <f t="shared" si="18"/>
        <v>0</v>
      </c>
      <c r="K56" s="166">
        <f>SUM(K57:K70)</f>
        <v>5652.7730000000001</v>
      </c>
      <c r="L56" s="166">
        <f t="shared" si="18"/>
        <v>0</v>
      </c>
      <c r="M56" s="166">
        <f t="shared" si="18"/>
        <v>0</v>
      </c>
      <c r="N56" s="166">
        <f t="shared" si="18"/>
        <v>0</v>
      </c>
      <c r="O56" s="166">
        <f t="shared" si="18"/>
        <v>0</v>
      </c>
      <c r="P56" s="166">
        <f t="shared" si="18"/>
        <v>0</v>
      </c>
      <c r="Q56" s="166">
        <f t="shared" si="18"/>
        <v>0</v>
      </c>
      <c r="R56" s="166">
        <f t="shared" si="18"/>
        <v>0</v>
      </c>
      <c r="S56" s="166">
        <f t="shared" si="18"/>
        <v>0</v>
      </c>
      <c r="T56" s="166">
        <f t="shared" si="18"/>
        <v>0</v>
      </c>
      <c r="U56" s="166">
        <f t="shared" si="18"/>
        <v>0</v>
      </c>
    </row>
    <row r="57" spans="1:21" ht="20.25" customHeight="1" x14ac:dyDescent="0.2">
      <c r="A57" s="387">
        <v>1</v>
      </c>
      <c r="B57" s="168" t="s">
        <v>291</v>
      </c>
      <c r="C57" s="169">
        <f t="shared" si="4"/>
        <v>1240</v>
      </c>
      <c r="D57" s="169">
        <f t="shared" si="5"/>
        <v>1240</v>
      </c>
      <c r="E57" s="169">
        <f t="shared" si="6"/>
        <v>0</v>
      </c>
      <c r="F57" s="169"/>
      <c r="G57" s="169"/>
      <c r="H57" s="169"/>
      <c r="I57" s="169"/>
      <c r="J57" s="169"/>
      <c r="K57" s="169">
        <f>1240</f>
        <v>1240</v>
      </c>
      <c r="L57" s="169"/>
      <c r="M57" s="169"/>
      <c r="N57" s="169"/>
      <c r="O57" s="169"/>
      <c r="P57" s="169"/>
      <c r="Q57" s="169">
        <f t="shared" si="7"/>
        <v>0</v>
      </c>
      <c r="R57" s="169"/>
      <c r="S57" s="169"/>
      <c r="T57" s="169"/>
      <c r="U57" s="169"/>
    </row>
    <row r="58" spans="1:21" ht="20.25" customHeight="1" x14ac:dyDescent="0.2">
      <c r="A58" s="387">
        <v>2</v>
      </c>
      <c r="B58" s="168" t="s">
        <v>292</v>
      </c>
      <c r="C58" s="169">
        <f t="shared" si="4"/>
        <v>2266.7730000000001</v>
      </c>
      <c r="D58" s="169">
        <f t="shared" si="5"/>
        <v>2266.7730000000001</v>
      </c>
      <c r="E58" s="169">
        <f t="shared" si="6"/>
        <v>0</v>
      </c>
      <c r="F58" s="169"/>
      <c r="G58" s="169"/>
      <c r="H58" s="169"/>
      <c r="I58" s="169"/>
      <c r="J58" s="169"/>
      <c r="K58" s="170">
        <v>2266.7730000000001</v>
      </c>
      <c r="L58" s="169"/>
      <c r="M58" s="169"/>
      <c r="N58" s="169"/>
      <c r="O58" s="169"/>
      <c r="P58" s="169"/>
      <c r="Q58" s="169">
        <f t="shared" si="7"/>
        <v>0</v>
      </c>
      <c r="R58" s="169"/>
      <c r="S58" s="169"/>
      <c r="T58" s="169"/>
      <c r="U58" s="169"/>
    </row>
    <row r="59" spans="1:21" ht="20.25" customHeight="1" x14ac:dyDescent="0.2">
      <c r="A59" s="387">
        <v>3</v>
      </c>
      <c r="B59" s="168" t="s">
        <v>293</v>
      </c>
      <c r="C59" s="169">
        <f t="shared" si="4"/>
        <v>50</v>
      </c>
      <c r="D59" s="169">
        <f t="shared" si="5"/>
        <v>50</v>
      </c>
      <c r="E59" s="169">
        <f t="shared" si="6"/>
        <v>0</v>
      </c>
      <c r="F59" s="169"/>
      <c r="G59" s="169"/>
      <c r="H59" s="169"/>
      <c r="I59" s="169"/>
      <c r="J59" s="169"/>
      <c r="K59" s="169">
        <f>50</f>
        <v>50</v>
      </c>
      <c r="L59" s="169"/>
      <c r="M59" s="169"/>
      <c r="N59" s="169"/>
      <c r="O59" s="169"/>
      <c r="P59" s="169"/>
      <c r="Q59" s="169">
        <f t="shared" si="7"/>
        <v>0</v>
      </c>
      <c r="R59" s="169"/>
      <c r="S59" s="169"/>
      <c r="T59" s="169"/>
      <c r="U59" s="169"/>
    </row>
    <row r="60" spans="1:21" ht="20.25" customHeight="1" x14ac:dyDescent="0.2">
      <c r="A60" s="387">
        <v>4</v>
      </c>
      <c r="B60" s="168" t="s">
        <v>294</v>
      </c>
      <c r="C60" s="169">
        <f t="shared" si="4"/>
        <v>30</v>
      </c>
      <c r="D60" s="169">
        <f t="shared" si="5"/>
        <v>30</v>
      </c>
      <c r="E60" s="169">
        <f t="shared" si="6"/>
        <v>0</v>
      </c>
      <c r="F60" s="169"/>
      <c r="G60" s="169"/>
      <c r="H60" s="169"/>
      <c r="I60" s="169"/>
      <c r="J60" s="169"/>
      <c r="K60" s="169">
        <v>30</v>
      </c>
      <c r="L60" s="169"/>
      <c r="M60" s="169"/>
      <c r="N60" s="169"/>
      <c r="O60" s="169"/>
      <c r="P60" s="169"/>
      <c r="Q60" s="169">
        <f t="shared" si="7"/>
        <v>0</v>
      </c>
      <c r="R60" s="169"/>
      <c r="S60" s="169"/>
      <c r="T60" s="169"/>
      <c r="U60" s="169"/>
    </row>
    <row r="61" spans="1:21" ht="20.25" customHeight="1" x14ac:dyDescent="0.2">
      <c r="A61" s="387">
        <v>5</v>
      </c>
      <c r="B61" s="168" t="s">
        <v>295</v>
      </c>
      <c r="C61" s="169">
        <f t="shared" si="4"/>
        <v>50</v>
      </c>
      <c r="D61" s="169">
        <f t="shared" si="5"/>
        <v>50</v>
      </c>
      <c r="E61" s="169">
        <f t="shared" si="6"/>
        <v>0</v>
      </c>
      <c r="F61" s="169"/>
      <c r="G61" s="169"/>
      <c r="H61" s="169"/>
      <c r="I61" s="169"/>
      <c r="J61" s="169"/>
      <c r="K61" s="169">
        <v>50</v>
      </c>
      <c r="L61" s="169"/>
      <c r="M61" s="169"/>
      <c r="N61" s="169"/>
      <c r="O61" s="169"/>
      <c r="P61" s="169"/>
      <c r="Q61" s="169">
        <f t="shared" si="7"/>
        <v>0</v>
      </c>
      <c r="R61" s="169"/>
      <c r="S61" s="169"/>
      <c r="T61" s="169"/>
      <c r="U61" s="169"/>
    </row>
    <row r="62" spans="1:21" ht="20.25" customHeight="1" x14ac:dyDescent="0.2">
      <c r="A62" s="387">
        <v>6</v>
      </c>
      <c r="B62" s="168" t="s">
        <v>300</v>
      </c>
      <c r="C62" s="169">
        <f>D62+Q62+U62</f>
        <v>370</v>
      </c>
      <c r="D62" s="169">
        <f>E62+K62+N62+O62+P62</f>
        <v>370</v>
      </c>
      <c r="E62" s="169">
        <f>H62+I62+J62</f>
        <v>0</v>
      </c>
      <c r="F62" s="169"/>
      <c r="G62" s="169"/>
      <c r="H62" s="169"/>
      <c r="I62" s="169"/>
      <c r="J62" s="169"/>
      <c r="K62" s="169">
        <v>370</v>
      </c>
      <c r="L62" s="169"/>
      <c r="M62" s="169"/>
      <c r="N62" s="169"/>
      <c r="O62" s="169"/>
      <c r="P62" s="169"/>
      <c r="Q62" s="169">
        <f>SUM(R62:T62)</f>
        <v>0</v>
      </c>
      <c r="R62" s="169"/>
      <c r="S62" s="169"/>
      <c r="T62" s="169"/>
      <c r="U62" s="169"/>
    </row>
    <row r="63" spans="1:21" ht="20.25" customHeight="1" x14ac:dyDescent="0.2">
      <c r="A63" s="387">
        <v>7</v>
      </c>
      <c r="B63" s="168" t="s">
        <v>296</v>
      </c>
      <c r="C63" s="169">
        <f>D63+Q63+U63</f>
        <v>16</v>
      </c>
      <c r="D63" s="169">
        <f>E63+K63+N63+O63+P63</f>
        <v>16</v>
      </c>
      <c r="E63" s="169">
        <f>H63+I63+J63</f>
        <v>0</v>
      </c>
      <c r="F63" s="169"/>
      <c r="G63" s="169"/>
      <c r="H63" s="169"/>
      <c r="I63" s="169"/>
      <c r="J63" s="169"/>
      <c r="K63" s="169">
        <v>16</v>
      </c>
      <c r="L63" s="169"/>
      <c r="M63" s="169"/>
      <c r="N63" s="169"/>
      <c r="O63" s="169"/>
      <c r="P63" s="169"/>
      <c r="Q63" s="169">
        <f>SUM(R63:T63)</f>
        <v>0</v>
      </c>
      <c r="R63" s="169"/>
      <c r="S63" s="169"/>
      <c r="T63" s="169"/>
      <c r="U63" s="169"/>
    </row>
    <row r="64" spans="1:21" ht="36" customHeight="1" x14ac:dyDescent="0.2">
      <c r="A64" s="387">
        <v>8</v>
      </c>
      <c r="B64" s="168" t="s">
        <v>355</v>
      </c>
      <c r="C64" s="169">
        <f t="shared" si="4"/>
        <v>30</v>
      </c>
      <c r="D64" s="169">
        <f t="shared" si="5"/>
        <v>30</v>
      </c>
      <c r="E64" s="169">
        <f t="shared" si="6"/>
        <v>0</v>
      </c>
      <c r="F64" s="169"/>
      <c r="G64" s="169"/>
      <c r="H64" s="169"/>
      <c r="I64" s="169"/>
      <c r="J64" s="169"/>
      <c r="K64" s="169">
        <v>30</v>
      </c>
      <c r="L64" s="169"/>
      <c r="M64" s="169"/>
      <c r="N64" s="169"/>
      <c r="O64" s="169"/>
      <c r="P64" s="169"/>
      <c r="Q64" s="169">
        <f t="shared" si="7"/>
        <v>0</v>
      </c>
      <c r="R64" s="169"/>
      <c r="S64" s="169"/>
      <c r="T64" s="169"/>
      <c r="U64" s="169"/>
    </row>
    <row r="65" spans="1:21" ht="20.25" customHeight="1" x14ac:dyDescent="0.2">
      <c r="A65" s="387">
        <v>9</v>
      </c>
      <c r="B65" s="168" t="s">
        <v>301</v>
      </c>
      <c r="C65" s="169">
        <f t="shared" si="4"/>
        <v>1500</v>
      </c>
      <c r="D65" s="169">
        <f t="shared" si="5"/>
        <v>1500</v>
      </c>
      <c r="E65" s="169">
        <f t="shared" si="6"/>
        <v>0</v>
      </c>
      <c r="F65" s="169"/>
      <c r="G65" s="169"/>
      <c r="H65" s="169"/>
      <c r="I65" s="169"/>
      <c r="J65" s="169"/>
      <c r="K65" s="169">
        <v>1500</v>
      </c>
      <c r="L65" s="169"/>
      <c r="M65" s="169"/>
      <c r="N65" s="169"/>
      <c r="O65" s="169"/>
      <c r="P65" s="169"/>
      <c r="Q65" s="169">
        <f t="shared" si="7"/>
        <v>0</v>
      </c>
      <c r="R65" s="169"/>
      <c r="S65" s="169"/>
      <c r="T65" s="169"/>
      <c r="U65" s="169"/>
    </row>
    <row r="66" spans="1:21" ht="49.5" customHeight="1" x14ac:dyDescent="0.2">
      <c r="A66" s="387">
        <v>10</v>
      </c>
      <c r="B66" s="174" t="s">
        <v>398</v>
      </c>
      <c r="C66" s="169">
        <f t="shared" si="4"/>
        <v>100</v>
      </c>
      <c r="D66" s="169">
        <f t="shared" si="5"/>
        <v>100</v>
      </c>
      <c r="E66" s="169">
        <f t="shared" si="6"/>
        <v>0</v>
      </c>
      <c r="F66" s="169"/>
      <c r="G66" s="169"/>
      <c r="H66" s="169"/>
      <c r="I66" s="169"/>
      <c r="J66" s="169"/>
      <c r="K66" s="169">
        <v>100</v>
      </c>
      <c r="L66" s="169"/>
      <c r="M66" s="169"/>
      <c r="N66" s="169"/>
      <c r="O66" s="169"/>
      <c r="P66" s="169"/>
      <c r="Q66" s="169">
        <f t="shared" si="7"/>
        <v>0</v>
      </c>
      <c r="R66" s="169"/>
      <c r="S66" s="169"/>
      <c r="T66" s="169"/>
      <c r="U66" s="169"/>
    </row>
    <row r="67" spans="1:21" ht="36" customHeight="1" x14ac:dyDescent="0.2">
      <c r="A67" s="387">
        <v>11</v>
      </c>
      <c r="B67" s="168" t="s">
        <v>297</v>
      </c>
      <c r="C67" s="169">
        <f t="shared" si="4"/>
        <v>0</v>
      </c>
      <c r="D67" s="169">
        <f t="shared" si="5"/>
        <v>0</v>
      </c>
      <c r="E67" s="169">
        <f t="shared" si="6"/>
        <v>0</v>
      </c>
      <c r="F67" s="169"/>
      <c r="G67" s="169"/>
      <c r="H67" s="169"/>
      <c r="I67" s="169"/>
      <c r="J67" s="169"/>
      <c r="K67" s="169"/>
      <c r="L67" s="169"/>
      <c r="M67" s="169"/>
      <c r="N67" s="169"/>
      <c r="O67" s="169"/>
      <c r="P67" s="169"/>
      <c r="Q67" s="169">
        <f t="shared" si="7"/>
        <v>0</v>
      </c>
      <c r="R67" s="169"/>
      <c r="S67" s="169"/>
      <c r="T67" s="169"/>
      <c r="U67" s="169"/>
    </row>
    <row r="68" spans="1:21" ht="20.25" customHeight="1" x14ac:dyDescent="0.2">
      <c r="A68" s="387">
        <v>12</v>
      </c>
      <c r="B68" s="168" t="s">
        <v>298</v>
      </c>
      <c r="C68" s="169">
        <f t="shared" si="4"/>
        <v>0</v>
      </c>
      <c r="D68" s="169">
        <f t="shared" si="5"/>
        <v>0</v>
      </c>
      <c r="E68" s="169">
        <f t="shared" si="6"/>
        <v>0</v>
      </c>
      <c r="F68" s="169"/>
      <c r="G68" s="169"/>
      <c r="H68" s="169"/>
      <c r="I68" s="169"/>
      <c r="J68" s="169"/>
      <c r="K68" s="169"/>
      <c r="L68" s="169"/>
      <c r="M68" s="169"/>
      <c r="N68" s="169"/>
      <c r="O68" s="169"/>
      <c r="P68" s="169"/>
      <c r="Q68" s="169">
        <f t="shared" si="7"/>
        <v>0</v>
      </c>
      <c r="R68" s="169"/>
      <c r="S68" s="169"/>
      <c r="T68" s="169"/>
      <c r="U68" s="169"/>
    </row>
    <row r="69" spans="1:21" ht="20.25" customHeight="1" x14ac:dyDescent="0.2">
      <c r="A69" s="387">
        <v>13</v>
      </c>
      <c r="B69" s="168" t="s">
        <v>299</v>
      </c>
      <c r="C69" s="169">
        <f t="shared" si="4"/>
        <v>0</v>
      </c>
      <c r="D69" s="169">
        <f t="shared" si="5"/>
        <v>0</v>
      </c>
      <c r="E69" s="169">
        <f t="shared" si="6"/>
        <v>0</v>
      </c>
      <c r="F69" s="169"/>
      <c r="G69" s="169"/>
      <c r="H69" s="169"/>
      <c r="I69" s="169"/>
      <c r="J69" s="169"/>
      <c r="K69" s="169"/>
      <c r="L69" s="169"/>
      <c r="M69" s="169"/>
      <c r="N69" s="169"/>
      <c r="O69" s="169"/>
      <c r="P69" s="169"/>
      <c r="Q69" s="169">
        <f t="shared" si="7"/>
        <v>0</v>
      </c>
      <c r="R69" s="169"/>
      <c r="S69" s="169"/>
      <c r="T69" s="169"/>
      <c r="U69" s="169"/>
    </row>
    <row r="70" spans="1:21" ht="20.25" customHeight="1" x14ac:dyDescent="0.2">
      <c r="A70" s="387">
        <v>14</v>
      </c>
      <c r="B70" s="168" t="s">
        <v>302</v>
      </c>
      <c r="C70" s="169">
        <f t="shared" si="4"/>
        <v>0</v>
      </c>
      <c r="D70" s="169">
        <f t="shared" si="5"/>
        <v>0</v>
      </c>
      <c r="E70" s="169">
        <f t="shared" si="6"/>
        <v>0</v>
      </c>
      <c r="F70" s="169"/>
      <c r="G70" s="169"/>
      <c r="H70" s="169"/>
      <c r="I70" s="169"/>
      <c r="J70" s="169"/>
      <c r="K70" s="169"/>
      <c r="L70" s="169"/>
      <c r="M70" s="169"/>
      <c r="N70" s="169"/>
      <c r="O70" s="169"/>
      <c r="P70" s="169"/>
      <c r="Q70" s="169">
        <f t="shared" si="7"/>
        <v>0</v>
      </c>
      <c r="R70" s="169"/>
      <c r="S70" s="169"/>
      <c r="T70" s="169"/>
      <c r="U70" s="169"/>
    </row>
    <row r="71" spans="1:21" s="163" customFormat="1" ht="31.5" customHeight="1" x14ac:dyDescent="0.2">
      <c r="A71" s="386" t="s">
        <v>29</v>
      </c>
      <c r="B71" s="165" t="s">
        <v>303</v>
      </c>
      <c r="C71" s="166">
        <f t="shared" si="4"/>
        <v>0</v>
      </c>
      <c r="D71" s="166">
        <f t="shared" si="5"/>
        <v>0</v>
      </c>
      <c r="E71" s="166">
        <f t="shared" si="6"/>
        <v>0</v>
      </c>
      <c r="F71" s="166"/>
      <c r="G71" s="166"/>
      <c r="H71" s="166"/>
      <c r="I71" s="166"/>
      <c r="J71" s="166"/>
      <c r="K71" s="166"/>
      <c r="L71" s="166"/>
      <c r="M71" s="166"/>
      <c r="N71" s="166"/>
      <c r="O71" s="166"/>
      <c r="P71" s="166"/>
      <c r="Q71" s="169">
        <f t="shared" si="7"/>
        <v>0</v>
      </c>
      <c r="R71" s="166"/>
      <c r="S71" s="166"/>
      <c r="T71" s="166"/>
      <c r="U71" s="166"/>
    </row>
    <row r="72" spans="1:21" s="163" customFormat="1" ht="30.75" customHeight="1" x14ac:dyDescent="0.2">
      <c r="A72" s="386" t="s">
        <v>35</v>
      </c>
      <c r="B72" s="165" t="s">
        <v>304</v>
      </c>
      <c r="C72" s="166">
        <f t="shared" si="4"/>
        <v>0</v>
      </c>
      <c r="D72" s="166">
        <f t="shared" si="5"/>
        <v>0</v>
      </c>
      <c r="E72" s="166">
        <f t="shared" si="6"/>
        <v>0</v>
      </c>
      <c r="F72" s="166"/>
      <c r="G72" s="166"/>
      <c r="H72" s="166"/>
      <c r="I72" s="166"/>
      <c r="J72" s="166"/>
      <c r="K72" s="166"/>
      <c r="L72" s="166"/>
      <c r="M72" s="166"/>
      <c r="N72" s="166"/>
      <c r="O72" s="166"/>
      <c r="P72" s="166"/>
      <c r="Q72" s="169">
        <f t="shared" si="7"/>
        <v>0</v>
      </c>
      <c r="R72" s="166"/>
      <c r="S72" s="166"/>
      <c r="T72" s="166"/>
      <c r="U72" s="166"/>
    </row>
    <row r="73" spans="1:21" s="163" customFormat="1" ht="20.25" customHeight="1" x14ac:dyDescent="0.2">
      <c r="A73" s="386" t="s">
        <v>68</v>
      </c>
      <c r="B73" s="165" t="s">
        <v>104</v>
      </c>
      <c r="C73" s="166">
        <f t="shared" si="4"/>
        <v>5849</v>
      </c>
      <c r="D73" s="166">
        <f t="shared" si="5"/>
        <v>5849</v>
      </c>
      <c r="E73" s="166">
        <f t="shared" si="6"/>
        <v>0</v>
      </c>
      <c r="F73" s="166"/>
      <c r="G73" s="166"/>
      <c r="H73" s="166"/>
      <c r="I73" s="166"/>
      <c r="J73" s="166"/>
      <c r="K73" s="166"/>
      <c r="L73" s="166"/>
      <c r="M73" s="166"/>
      <c r="N73" s="166"/>
      <c r="O73" s="166">
        <v>5849</v>
      </c>
      <c r="P73" s="166"/>
      <c r="Q73" s="169">
        <f t="shared" si="7"/>
        <v>0</v>
      </c>
      <c r="R73" s="166"/>
      <c r="S73" s="166"/>
      <c r="T73" s="166"/>
      <c r="U73" s="166"/>
    </row>
    <row r="74" spans="1:21" s="163" customFormat="1" ht="30.75" customHeight="1" x14ac:dyDescent="0.2">
      <c r="A74" s="386" t="s">
        <v>70</v>
      </c>
      <c r="B74" s="165" t="s">
        <v>105</v>
      </c>
      <c r="C74" s="166">
        <f t="shared" si="4"/>
        <v>5355</v>
      </c>
      <c r="D74" s="166">
        <f t="shared" si="5"/>
        <v>5355</v>
      </c>
      <c r="E74" s="166">
        <f t="shared" si="6"/>
        <v>0</v>
      </c>
      <c r="F74" s="166"/>
      <c r="G74" s="166"/>
      <c r="H74" s="166"/>
      <c r="I74" s="166"/>
      <c r="J74" s="166"/>
      <c r="K74" s="166"/>
      <c r="L74" s="166"/>
      <c r="M74" s="166"/>
      <c r="N74" s="166"/>
      <c r="O74" s="166"/>
      <c r="P74" s="166">
        <v>5355</v>
      </c>
      <c r="Q74" s="169">
        <f t="shared" si="7"/>
        <v>0</v>
      </c>
      <c r="R74" s="166"/>
      <c r="S74" s="166"/>
      <c r="T74" s="166"/>
      <c r="U74" s="166"/>
    </row>
    <row r="75" spans="1:21" s="163" customFormat="1" ht="39" customHeight="1" x14ac:dyDescent="0.2">
      <c r="A75" s="386" t="s">
        <v>72</v>
      </c>
      <c r="B75" s="165" t="s">
        <v>305</v>
      </c>
      <c r="C75" s="167">
        <f>SUM(C76:C86)</f>
        <v>69024.778999999995</v>
      </c>
      <c r="D75" s="166">
        <f t="shared" ref="D75:U75" si="19">SUM(D76:D86)</f>
        <v>68973.778999999995</v>
      </c>
      <c r="E75" s="166">
        <f t="shared" si="19"/>
        <v>8640</v>
      </c>
      <c r="F75" s="166">
        <f t="shared" si="19"/>
        <v>0</v>
      </c>
      <c r="G75" s="166">
        <f t="shared" si="19"/>
        <v>0</v>
      </c>
      <c r="H75" s="166">
        <f t="shared" si="19"/>
        <v>0</v>
      </c>
      <c r="I75" s="166">
        <f t="shared" si="19"/>
        <v>0</v>
      </c>
      <c r="J75" s="166">
        <f t="shared" si="19"/>
        <v>8640</v>
      </c>
      <c r="K75" s="166">
        <f t="shared" si="19"/>
        <v>59119.779000000002</v>
      </c>
      <c r="L75" s="166">
        <f t="shared" si="19"/>
        <v>348</v>
      </c>
      <c r="M75" s="166">
        <f t="shared" si="19"/>
        <v>0</v>
      </c>
      <c r="N75" s="166">
        <f t="shared" si="19"/>
        <v>0</v>
      </c>
      <c r="O75" s="167">
        <f t="shared" si="19"/>
        <v>1214</v>
      </c>
      <c r="P75" s="166">
        <f t="shared" si="19"/>
        <v>0</v>
      </c>
      <c r="Q75" s="167">
        <f t="shared" si="19"/>
        <v>51</v>
      </c>
      <c r="R75" s="166">
        <f t="shared" si="19"/>
        <v>0</v>
      </c>
      <c r="S75" s="166">
        <f t="shared" si="19"/>
        <v>51</v>
      </c>
      <c r="T75" s="166">
        <f t="shared" si="19"/>
        <v>0</v>
      </c>
      <c r="U75" s="166">
        <f t="shared" si="19"/>
        <v>0</v>
      </c>
    </row>
    <row r="76" spans="1:21" ht="20.25" customHeight="1" x14ac:dyDescent="0.2">
      <c r="A76" s="387">
        <v>1</v>
      </c>
      <c r="B76" s="168" t="s">
        <v>287</v>
      </c>
      <c r="C76" s="172">
        <f>D76+Q76+U76</f>
        <v>8412.1980000000003</v>
      </c>
      <c r="D76" s="169">
        <f>E76+K76+N76+O76+P76</f>
        <v>8412.1980000000003</v>
      </c>
      <c r="E76" s="169">
        <f t="shared" ref="E76:E87" si="20">H76+I76+J76</f>
        <v>3500</v>
      </c>
      <c r="F76" s="169"/>
      <c r="G76" s="169"/>
      <c r="H76" s="169"/>
      <c r="I76" s="169"/>
      <c r="J76" s="169">
        <v>3500</v>
      </c>
      <c r="K76" s="169">
        <v>4796.1980000000003</v>
      </c>
      <c r="L76" s="169">
        <f>40-10</f>
        <v>30</v>
      </c>
      <c r="M76" s="169"/>
      <c r="N76" s="169"/>
      <c r="O76" s="169">
        <v>116</v>
      </c>
      <c r="P76" s="169"/>
      <c r="Q76" s="172">
        <f t="shared" ref="Q76:Q86" si="21">SUM(R76:T76)</f>
        <v>0</v>
      </c>
      <c r="R76" s="169"/>
      <c r="S76" s="169"/>
      <c r="T76" s="169"/>
      <c r="U76" s="169"/>
    </row>
    <row r="77" spans="1:21" ht="20.25" customHeight="1" x14ac:dyDescent="0.2">
      <c r="A77" s="387">
        <v>2</v>
      </c>
      <c r="B77" s="168" t="s">
        <v>169</v>
      </c>
      <c r="C77" s="172">
        <f t="shared" ref="C77:C86" si="22">D77+Q77+U77</f>
        <v>4320.1899999999996</v>
      </c>
      <c r="D77" s="169">
        <f t="shared" ref="D77:D86" si="23">E77+K77+N77+O77+P77</f>
        <v>4320.1899999999996</v>
      </c>
      <c r="E77" s="169">
        <f t="shared" si="20"/>
        <v>10</v>
      </c>
      <c r="F77" s="169"/>
      <c r="G77" s="169"/>
      <c r="H77" s="169"/>
      <c r="I77" s="169"/>
      <c r="J77" s="169">
        <v>10</v>
      </c>
      <c r="K77" s="169">
        <v>4226.1899999999996</v>
      </c>
      <c r="L77" s="169">
        <f>30-5</f>
        <v>25</v>
      </c>
      <c r="M77" s="169"/>
      <c r="N77" s="169"/>
      <c r="O77" s="169">
        <v>84</v>
      </c>
      <c r="P77" s="169"/>
      <c r="Q77" s="172">
        <f t="shared" si="21"/>
        <v>0</v>
      </c>
      <c r="R77" s="169"/>
      <c r="S77" s="172"/>
      <c r="T77" s="169"/>
      <c r="U77" s="169"/>
    </row>
    <row r="78" spans="1:21" ht="20.25" customHeight="1" x14ac:dyDescent="0.2">
      <c r="A78" s="387">
        <v>3</v>
      </c>
      <c r="B78" s="168" t="s">
        <v>170</v>
      </c>
      <c r="C78" s="172">
        <f t="shared" si="22"/>
        <v>4422.9129999999996</v>
      </c>
      <c r="D78" s="169">
        <f t="shared" si="23"/>
        <v>4422.9129999999996</v>
      </c>
      <c r="E78" s="169">
        <f t="shared" si="20"/>
        <v>10</v>
      </c>
      <c r="F78" s="169"/>
      <c r="G78" s="169"/>
      <c r="H78" s="169"/>
      <c r="I78" s="169"/>
      <c r="J78" s="169">
        <v>10</v>
      </c>
      <c r="K78" s="169">
        <v>4326.9129999999996</v>
      </c>
      <c r="L78" s="169">
        <f>35-5</f>
        <v>30</v>
      </c>
      <c r="M78" s="169"/>
      <c r="N78" s="169"/>
      <c r="O78" s="169">
        <v>86</v>
      </c>
      <c r="P78" s="169"/>
      <c r="Q78" s="172">
        <f t="shared" si="21"/>
        <v>0</v>
      </c>
      <c r="R78" s="169"/>
      <c r="S78" s="172"/>
      <c r="T78" s="169"/>
      <c r="U78" s="169"/>
    </row>
    <row r="79" spans="1:21" ht="20.25" customHeight="1" x14ac:dyDescent="0.2">
      <c r="A79" s="387">
        <v>4</v>
      </c>
      <c r="B79" s="168" t="s">
        <v>168</v>
      </c>
      <c r="C79" s="172">
        <f t="shared" si="22"/>
        <v>4299.2969999999996</v>
      </c>
      <c r="D79" s="169">
        <f t="shared" si="23"/>
        <v>4299.2969999999996</v>
      </c>
      <c r="E79" s="169">
        <f t="shared" si="20"/>
        <v>10</v>
      </c>
      <c r="F79" s="169"/>
      <c r="G79" s="169"/>
      <c r="H79" s="169"/>
      <c r="I79" s="169"/>
      <c r="J79" s="169">
        <v>10</v>
      </c>
      <c r="K79" s="169">
        <v>4205.2969999999996</v>
      </c>
      <c r="L79" s="169">
        <f>15-5</f>
        <v>10</v>
      </c>
      <c r="M79" s="169"/>
      <c r="N79" s="169"/>
      <c r="O79" s="169">
        <v>84</v>
      </c>
      <c r="P79" s="169"/>
      <c r="Q79" s="172">
        <f t="shared" si="21"/>
        <v>0</v>
      </c>
      <c r="R79" s="169"/>
      <c r="S79" s="172"/>
      <c r="T79" s="169"/>
      <c r="U79" s="169"/>
    </row>
    <row r="80" spans="1:21" ht="20.25" customHeight="1" x14ac:dyDescent="0.2">
      <c r="A80" s="387">
        <v>5</v>
      </c>
      <c r="B80" s="168" t="s">
        <v>171</v>
      </c>
      <c r="C80" s="172">
        <f t="shared" si="22"/>
        <v>5516.5659999999998</v>
      </c>
      <c r="D80" s="169">
        <f t="shared" si="23"/>
        <v>5516.5659999999998</v>
      </c>
      <c r="E80" s="169">
        <f t="shared" si="20"/>
        <v>20</v>
      </c>
      <c r="F80" s="169"/>
      <c r="G80" s="169"/>
      <c r="H80" s="169"/>
      <c r="I80" s="169"/>
      <c r="J80" s="169">
        <v>20</v>
      </c>
      <c r="K80" s="169">
        <v>5388.5659999999998</v>
      </c>
      <c r="L80" s="169">
        <f>50-10</f>
        <v>40</v>
      </c>
      <c r="M80" s="169"/>
      <c r="N80" s="169"/>
      <c r="O80" s="169">
        <v>108</v>
      </c>
      <c r="P80" s="169"/>
      <c r="Q80" s="172">
        <f t="shared" si="21"/>
        <v>0</v>
      </c>
      <c r="R80" s="169"/>
      <c r="S80" s="172"/>
      <c r="T80" s="169"/>
      <c r="U80" s="169"/>
    </row>
    <row r="81" spans="1:21" ht="20.25" customHeight="1" x14ac:dyDescent="0.2">
      <c r="A81" s="387">
        <v>6</v>
      </c>
      <c r="B81" s="168" t="s">
        <v>172</v>
      </c>
      <c r="C81" s="172">
        <f t="shared" si="22"/>
        <v>4783.3999999999996</v>
      </c>
      <c r="D81" s="169">
        <f t="shared" si="23"/>
        <v>4783.3999999999996</v>
      </c>
      <c r="E81" s="169">
        <f t="shared" si="20"/>
        <v>65</v>
      </c>
      <c r="F81" s="169"/>
      <c r="G81" s="169"/>
      <c r="H81" s="169"/>
      <c r="I81" s="169"/>
      <c r="J81" s="169">
        <v>65</v>
      </c>
      <c r="K81" s="169">
        <v>4625.3999999999996</v>
      </c>
      <c r="L81" s="169">
        <f>50-5</f>
        <v>45</v>
      </c>
      <c r="M81" s="169"/>
      <c r="N81" s="169"/>
      <c r="O81" s="169">
        <v>93</v>
      </c>
      <c r="P81" s="169"/>
      <c r="Q81" s="172">
        <f t="shared" si="21"/>
        <v>0</v>
      </c>
      <c r="R81" s="169"/>
      <c r="S81" s="172"/>
      <c r="T81" s="169"/>
      <c r="U81" s="169"/>
    </row>
    <row r="82" spans="1:21" ht="20.25" customHeight="1" x14ac:dyDescent="0.2">
      <c r="A82" s="387">
        <v>7</v>
      </c>
      <c r="B82" s="168" t="s">
        <v>288</v>
      </c>
      <c r="C82" s="172">
        <f t="shared" si="22"/>
        <v>4636.9620000000004</v>
      </c>
      <c r="D82" s="169">
        <f t="shared" si="23"/>
        <v>4636.9620000000004</v>
      </c>
      <c r="E82" s="169">
        <f t="shared" si="20"/>
        <v>0</v>
      </c>
      <c r="F82" s="169"/>
      <c r="G82" s="169"/>
      <c r="H82" s="169"/>
      <c r="I82" s="169"/>
      <c r="J82" s="169">
        <f>0</f>
        <v>0</v>
      </c>
      <c r="K82" s="169">
        <v>4545.9620000000004</v>
      </c>
      <c r="L82" s="169">
        <f>30-5</f>
        <v>25</v>
      </c>
      <c r="M82" s="169"/>
      <c r="N82" s="169"/>
      <c r="O82" s="169">
        <v>91</v>
      </c>
      <c r="P82" s="169"/>
      <c r="Q82" s="172">
        <f t="shared" si="21"/>
        <v>0</v>
      </c>
      <c r="R82" s="169"/>
      <c r="S82" s="172"/>
      <c r="T82" s="169"/>
      <c r="U82" s="169"/>
    </row>
    <row r="83" spans="1:21" ht="20.25" customHeight="1" x14ac:dyDescent="0.2">
      <c r="A83" s="387">
        <v>8</v>
      </c>
      <c r="B83" s="168" t="s">
        <v>173</v>
      </c>
      <c r="C83" s="172">
        <f t="shared" si="22"/>
        <v>6789.96</v>
      </c>
      <c r="D83" s="169">
        <f t="shared" si="23"/>
        <v>6738.96</v>
      </c>
      <c r="E83" s="169">
        <f t="shared" si="20"/>
        <v>10</v>
      </c>
      <c r="F83" s="169"/>
      <c r="G83" s="169"/>
      <c r="H83" s="169"/>
      <c r="I83" s="169"/>
      <c r="J83" s="169">
        <v>10</v>
      </c>
      <c r="K83" s="169">
        <f>6647.96-51</f>
        <v>6596.96</v>
      </c>
      <c r="L83" s="169">
        <f>50-10</f>
        <v>40</v>
      </c>
      <c r="M83" s="169"/>
      <c r="N83" s="169"/>
      <c r="O83" s="169">
        <v>132</v>
      </c>
      <c r="P83" s="169"/>
      <c r="Q83" s="172">
        <f t="shared" si="21"/>
        <v>51</v>
      </c>
      <c r="R83" s="169"/>
      <c r="S83" s="169">
        <v>51</v>
      </c>
      <c r="T83" s="169"/>
      <c r="U83" s="169"/>
    </row>
    <row r="84" spans="1:21" ht="20.25" customHeight="1" x14ac:dyDescent="0.2">
      <c r="A84" s="387">
        <v>9</v>
      </c>
      <c r="B84" s="168" t="s">
        <v>177</v>
      </c>
      <c r="C84" s="172">
        <f t="shared" si="22"/>
        <v>6954.616</v>
      </c>
      <c r="D84" s="169">
        <f t="shared" si="23"/>
        <v>6954.616</v>
      </c>
      <c r="E84" s="169">
        <f t="shared" si="20"/>
        <v>10</v>
      </c>
      <c r="F84" s="169"/>
      <c r="G84" s="169"/>
      <c r="H84" s="169"/>
      <c r="I84" s="169"/>
      <c r="J84" s="169">
        <v>10</v>
      </c>
      <c r="K84" s="169">
        <v>6808.616</v>
      </c>
      <c r="L84" s="169">
        <f>35-5</f>
        <v>30</v>
      </c>
      <c r="M84" s="169"/>
      <c r="N84" s="169"/>
      <c r="O84" s="169">
        <v>136</v>
      </c>
      <c r="P84" s="169"/>
      <c r="Q84" s="172">
        <f t="shared" si="21"/>
        <v>0</v>
      </c>
      <c r="R84" s="169"/>
      <c r="S84" s="172"/>
      <c r="T84" s="169"/>
      <c r="U84" s="169"/>
    </row>
    <row r="85" spans="1:21" ht="20.25" customHeight="1" x14ac:dyDescent="0.2">
      <c r="A85" s="387">
        <v>10</v>
      </c>
      <c r="B85" s="168" t="s">
        <v>175</v>
      </c>
      <c r="C85" s="172">
        <f t="shared" si="22"/>
        <v>6601.451</v>
      </c>
      <c r="D85" s="169">
        <f t="shared" si="23"/>
        <v>6601.451</v>
      </c>
      <c r="E85" s="169">
        <f t="shared" si="20"/>
        <v>5</v>
      </c>
      <c r="F85" s="169"/>
      <c r="G85" s="169"/>
      <c r="H85" s="169"/>
      <c r="I85" s="169"/>
      <c r="J85" s="169">
        <v>5</v>
      </c>
      <c r="K85" s="169">
        <v>6467.451</v>
      </c>
      <c r="L85" s="169">
        <f>50-5</f>
        <v>45</v>
      </c>
      <c r="M85" s="169"/>
      <c r="N85" s="169"/>
      <c r="O85" s="169">
        <v>129</v>
      </c>
      <c r="P85" s="169"/>
      <c r="Q85" s="172">
        <f t="shared" si="21"/>
        <v>0</v>
      </c>
      <c r="R85" s="169"/>
      <c r="S85" s="172"/>
      <c r="T85" s="169"/>
      <c r="U85" s="169"/>
    </row>
    <row r="86" spans="1:21" ht="20.25" customHeight="1" x14ac:dyDescent="0.2">
      <c r="A86" s="387">
        <v>11</v>
      </c>
      <c r="B86" s="168" t="s">
        <v>176</v>
      </c>
      <c r="C86" s="172">
        <f t="shared" si="22"/>
        <v>12287.225999999999</v>
      </c>
      <c r="D86" s="169">
        <f t="shared" si="23"/>
        <v>12287.225999999999</v>
      </c>
      <c r="E86" s="169">
        <f t="shared" si="20"/>
        <v>5000</v>
      </c>
      <c r="F86" s="169"/>
      <c r="G86" s="169"/>
      <c r="H86" s="169"/>
      <c r="I86" s="169"/>
      <c r="J86" s="169">
        <v>5000</v>
      </c>
      <c r="K86" s="169">
        <v>7132.2259999999997</v>
      </c>
      <c r="L86" s="169">
        <f>35-7</f>
        <v>28</v>
      </c>
      <c r="M86" s="169"/>
      <c r="N86" s="169"/>
      <c r="O86" s="169">
        <v>155</v>
      </c>
      <c r="P86" s="169"/>
      <c r="Q86" s="172">
        <f t="shared" si="21"/>
        <v>0</v>
      </c>
      <c r="R86" s="169"/>
      <c r="S86" s="172"/>
      <c r="T86" s="169"/>
      <c r="U86" s="169"/>
    </row>
    <row r="87" spans="1:21" ht="43.5" customHeight="1" x14ac:dyDescent="0.2">
      <c r="A87" s="387" t="s">
        <v>70</v>
      </c>
      <c r="B87" s="165" t="s">
        <v>107</v>
      </c>
      <c r="C87" s="169">
        <f t="shared" ref="C87" si="24">D87+Q87+U87</f>
        <v>0</v>
      </c>
      <c r="D87" s="169">
        <f t="shared" ref="D87" si="25">E87+K87+N87+O87+P87</f>
        <v>0</v>
      </c>
      <c r="E87" s="169">
        <f t="shared" si="20"/>
        <v>0</v>
      </c>
      <c r="F87" s="169"/>
      <c r="G87" s="169"/>
      <c r="H87" s="169"/>
      <c r="I87" s="169"/>
      <c r="J87" s="169"/>
      <c r="K87" s="169"/>
      <c r="L87" s="169"/>
      <c r="M87" s="169"/>
      <c r="N87" s="169"/>
      <c r="O87" s="169"/>
      <c r="P87" s="169"/>
      <c r="Q87" s="169">
        <f t="shared" ref="Q87" si="26">R87+S87+T87</f>
        <v>0</v>
      </c>
      <c r="R87" s="169"/>
      <c r="S87" s="169"/>
      <c r="T87" s="169"/>
      <c r="U87" s="169"/>
    </row>
    <row r="88" spans="1:21" x14ac:dyDescent="0.2">
      <c r="A88" s="388"/>
      <c r="B88" s="175"/>
      <c r="C88" s="176"/>
      <c r="D88" s="176"/>
      <c r="E88" s="176"/>
      <c r="F88" s="176"/>
      <c r="G88" s="176"/>
      <c r="H88" s="176"/>
      <c r="I88" s="176"/>
      <c r="J88" s="176"/>
      <c r="K88" s="176"/>
      <c r="L88" s="176"/>
      <c r="M88" s="176"/>
      <c r="N88" s="176"/>
      <c r="O88" s="176"/>
      <c r="P88" s="176"/>
      <c r="Q88" s="176"/>
      <c r="R88" s="176"/>
      <c r="S88" s="176"/>
      <c r="T88" s="176"/>
      <c r="U88" s="176"/>
    </row>
    <row r="89" spans="1:21" x14ac:dyDescent="0.2">
      <c r="A89" s="164"/>
      <c r="C89" s="160"/>
    </row>
    <row r="90" spans="1:21" x14ac:dyDescent="0.2">
      <c r="Q90" s="162"/>
    </row>
  </sheetData>
  <mergeCells count="25">
    <mergeCell ref="A1:B1"/>
    <mergeCell ref="A2:U2"/>
    <mergeCell ref="U4:U7"/>
    <mergeCell ref="D5:D7"/>
    <mergeCell ref="E5:J5"/>
    <mergeCell ref="K5:M5"/>
    <mergeCell ref="N5:N7"/>
    <mergeCell ref="T5:T7"/>
    <mergeCell ref="K6:K7"/>
    <mergeCell ref="J6:J7"/>
    <mergeCell ref="P5:P7"/>
    <mergeCell ref="Q5:Q7"/>
    <mergeCell ref="A4:A7"/>
    <mergeCell ref="B4:B7"/>
    <mergeCell ref="C4:C7"/>
    <mergeCell ref="E6:E7"/>
    <mergeCell ref="S5:S7"/>
    <mergeCell ref="L6:M6"/>
    <mergeCell ref="Q4:T4"/>
    <mergeCell ref="O5:O7"/>
    <mergeCell ref="F6:G6"/>
    <mergeCell ref="H6:H7"/>
    <mergeCell ref="I6:I7"/>
    <mergeCell ref="D4:P4"/>
    <mergeCell ref="R5:R7"/>
  </mergeCells>
  <phoneticPr fontId="16" type="noConversion"/>
  <pageMargins left="0.31496062992125984" right="0.27559055118110237" top="0.39370078740157483" bottom="0.19685039370078741" header="0.31496062992125984" footer="0.31496062992125984"/>
  <pageSetup paperSize="9" scale="6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2"/>
  <sheetViews>
    <sheetView workbookViewId="0">
      <selection sqref="A1:F20"/>
    </sheetView>
  </sheetViews>
  <sheetFormatPr defaultRowHeight="15" x14ac:dyDescent="0.25"/>
  <cols>
    <col min="1" max="1" width="6.85546875" style="2" customWidth="1"/>
    <col min="2" max="2" width="31.5703125" style="2" customWidth="1"/>
    <col min="3" max="3" width="12" style="2" customWidth="1"/>
    <col min="4" max="4" width="14.85546875" style="2" customWidth="1"/>
    <col min="5" max="5" width="14.7109375" style="2" customWidth="1"/>
    <col min="6" max="6" width="12" style="2" customWidth="1"/>
    <col min="7" max="16384" width="9.140625" style="2"/>
  </cols>
  <sheetData>
    <row r="1" spans="1:13" x14ac:dyDescent="0.25">
      <c r="A1" s="530" t="s">
        <v>178</v>
      </c>
      <c r="B1" s="530"/>
      <c r="E1" s="530" t="s">
        <v>147</v>
      </c>
      <c r="F1" s="530"/>
    </row>
    <row r="2" spans="1:13" ht="19.5" customHeight="1" x14ac:dyDescent="0.25">
      <c r="A2" s="530" t="s">
        <v>340</v>
      </c>
      <c r="B2" s="530"/>
      <c r="C2" s="530"/>
      <c r="D2" s="530"/>
      <c r="E2" s="530"/>
      <c r="F2" s="530"/>
    </row>
    <row r="3" spans="1:13" x14ac:dyDescent="0.25">
      <c r="A3" s="530" t="s">
        <v>420</v>
      </c>
      <c r="B3" s="530"/>
      <c r="C3" s="530"/>
      <c r="D3" s="530"/>
      <c r="E3" s="530"/>
      <c r="F3" s="530"/>
    </row>
    <row r="4" spans="1:13" s="283" customFormat="1" hidden="1" x14ac:dyDescent="0.25">
      <c r="A4" s="633" t="s">
        <v>353</v>
      </c>
      <c r="B4" s="633"/>
      <c r="C4" s="633"/>
      <c r="D4" s="633"/>
      <c r="E4" s="633"/>
      <c r="F4" s="633"/>
      <c r="G4" s="389"/>
      <c r="H4" s="389"/>
      <c r="I4" s="389"/>
      <c r="J4" s="389"/>
      <c r="K4" s="389"/>
      <c r="L4" s="389"/>
      <c r="M4" s="389"/>
    </row>
    <row r="5" spans="1:13" hidden="1" x14ac:dyDescent="0.25">
      <c r="A5" s="530" t="s">
        <v>11</v>
      </c>
      <c r="B5" s="530"/>
      <c r="C5" s="530"/>
      <c r="D5" s="530"/>
      <c r="E5" s="530"/>
      <c r="F5" s="530"/>
    </row>
    <row r="6" spans="1:13" x14ac:dyDescent="0.25">
      <c r="A6" s="63"/>
      <c r="C6" s="40"/>
      <c r="D6" s="40"/>
      <c r="F6" s="63" t="s">
        <v>42</v>
      </c>
    </row>
    <row r="7" spans="1:13" ht="18" customHeight="1" x14ac:dyDescent="0.25">
      <c r="A7" s="586" t="s">
        <v>13</v>
      </c>
      <c r="B7" s="586" t="s">
        <v>115</v>
      </c>
      <c r="C7" s="586" t="s">
        <v>132</v>
      </c>
      <c r="D7" s="586"/>
      <c r="E7" s="586"/>
      <c r="F7" s="586"/>
    </row>
    <row r="8" spans="1:13" ht="22.5" customHeight="1" x14ac:dyDescent="0.25">
      <c r="A8" s="586"/>
      <c r="B8" s="586"/>
      <c r="C8" s="634" t="s">
        <v>45</v>
      </c>
      <c r="D8" s="634" t="s">
        <v>135</v>
      </c>
      <c r="E8" s="634" t="s">
        <v>136</v>
      </c>
      <c r="F8" s="634" t="s">
        <v>137</v>
      </c>
    </row>
    <row r="9" spans="1:13" ht="15" customHeight="1" x14ac:dyDescent="0.25">
      <c r="A9" s="586"/>
      <c r="B9" s="586"/>
      <c r="C9" s="634"/>
      <c r="D9" s="634"/>
      <c r="E9" s="634"/>
      <c r="F9" s="634"/>
    </row>
    <row r="10" spans="1:13" ht="66" customHeight="1" x14ac:dyDescent="0.25">
      <c r="A10" s="586"/>
      <c r="B10" s="586"/>
      <c r="C10" s="634"/>
      <c r="D10" s="634"/>
      <c r="E10" s="634"/>
      <c r="F10" s="634"/>
    </row>
    <row r="11" spans="1:13" x14ac:dyDescent="0.25">
      <c r="A11" s="390" t="s">
        <v>17</v>
      </c>
      <c r="B11" s="390" t="s">
        <v>18</v>
      </c>
      <c r="C11" s="391" t="s">
        <v>148</v>
      </c>
      <c r="D11" s="391">
        <v>2</v>
      </c>
      <c r="E11" s="391">
        <v>3</v>
      </c>
      <c r="F11" s="391">
        <v>4</v>
      </c>
    </row>
    <row r="12" spans="1:13" s="18" customFormat="1" ht="20.25" customHeight="1" x14ac:dyDescent="0.2">
      <c r="A12" s="211"/>
      <c r="B12" s="212" t="s">
        <v>57</v>
      </c>
      <c r="C12" s="244">
        <f>C13+C17+C19</f>
        <v>8098</v>
      </c>
      <c r="D12" s="244">
        <f t="shared" ref="D12:F12" si="0">D13+D17+D19</f>
        <v>7427</v>
      </c>
      <c r="E12" s="244">
        <f t="shared" si="0"/>
        <v>671</v>
      </c>
      <c r="F12" s="244">
        <f t="shared" si="0"/>
        <v>0</v>
      </c>
    </row>
    <row r="13" spans="1:13" s="18" customFormat="1" ht="20.25" customHeight="1" x14ac:dyDescent="0.2">
      <c r="A13" s="215" t="s">
        <v>159</v>
      </c>
      <c r="B13" s="216" t="s">
        <v>339</v>
      </c>
      <c r="C13" s="392">
        <f>SUM(C14:C16)</f>
        <v>5547</v>
      </c>
      <c r="D13" s="392">
        <f>SUM(D14:D16)</f>
        <v>4927</v>
      </c>
      <c r="E13" s="392">
        <f>SUM(E14:E16)</f>
        <v>620</v>
      </c>
      <c r="F13" s="392">
        <f>SUM(F14:F16)</f>
        <v>0</v>
      </c>
    </row>
    <row r="14" spans="1:13" s="18" customFormat="1" ht="20.25" customHeight="1" x14ac:dyDescent="0.2">
      <c r="A14" s="219">
        <v>1</v>
      </c>
      <c r="B14" s="220" t="s">
        <v>264</v>
      </c>
      <c r="C14" s="246">
        <f t="shared" ref="C14:C16" si="1">SUM(D14:F14)</f>
        <v>3100</v>
      </c>
      <c r="D14" s="246">
        <v>3100</v>
      </c>
      <c r="E14" s="246"/>
      <c r="F14" s="246"/>
    </row>
    <row r="15" spans="1:13" s="18" customFormat="1" ht="20.25" customHeight="1" x14ac:dyDescent="0.2">
      <c r="A15" s="219">
        <v>2</v>
      </c>
      <c r="B15" s="220" t="s">
        <v>262</v>
      </c>
      <c r="C15" s="246">
        <f t="shared" ref="C15" si="2">SUM(D15:F15)</f>
        <v>620</v>
      </c>
      <c r="D15" s="246"/>
      <c r="E15" s="246">
        <v>620</v>
      </c>
      <c r="F15" s="246"/>
    </row>
    <row r="16" spans="1:13" ht="33.75" customHeight="1" x14ac:dyDescent="0.25">
      <c r="A16" s="219">
        <v>3</v>
      </c>
      <c r="B16" s="220" t="s">
        <v>268</v>
      </c>
      <c r="C16" s="246">
        <f t="shared" si="1"/>
        <v>1827</v>
      </c>
      <c r="D16" s="246">
        <v>1827</v>
      </c>
      <c r="E16" s="246"/>
      <c r="F16" s="246"/>
    </row>
    <row r="17" spans="1:6" s="18" customFormat="1" ht="20.25" customHeight="1" x14ac:dyDescent="0.2">
      <c r="A17" s="215" t="s">
        <v>189</v>
      </c>
      <c r="B17" s="216" t="s">
        <v>282</v>
      </c>
      <c r="C17" s="392">
        <f>SUM(C18:C18)</f>
        <v>2500</v>
      </c>
      <c r="D17" s="392">
        <f>SUM(D18:D18)</f>
        <v>2500</v>
      </c>
      <c r="E17" s="392">
        <f>SUM(E18:E18)</f>
        <v>0</v>
      </c>
      <c r="F17" s="392">
        <f>SUM(F18:F18)</f>
        <v>0</v>
      </c>
    </row>
    <row r="18" spans="1:6" ht="32.25" customHeight="1" x14ac:dyDescent="0.25">
      <c r="A18" s="219">
        <v>3</v>
      </c>
      <c r="B18" s="220" t="s">
        <v>285</v>
      </c>
      <c r="C18" s="246">
        <f t="shared" ref="C18:C20" si="3">SUM(D18:F18)</f>
        <v>2500</v>
      </c>
      <c r="D18" s="246">
        <v>2500</v>
      </c>
      <c r="E18" s="246"/>
      <c r="F18" s="246"/>
    </row>
    <row r="19" spans="1:6" s="18" customFormat="1" ht="20.25" customHeight="1" x14ac:dyDescent="0.2">
      <c r="A19" s="215" t="s">
        <v>191</v>
      </c>
      <c r="B19" s="216" t="s">
        <v>286</v>
      </c>
      <c r="C19" s="392">
        <f>SUM(C20:C20)</f>
        <v>51</v>
      </c>
      <c r="D19" s="392">
        <f>SUM(D20:D20)</f>
        <v>0</v>
      </c>
      <c r="E19" s="392">
        <f>SUM(E20:E20)</f>
        <v>51</v>
      </c>
      <c r="F19" s="392">
        <f>SUM(F20:F20)</f>
        <v>0</v>
      </c>
    </row>
    <row r="20" spans="1:6" ht="20.25" customHeight="1" x14ac:dyDescent="0.25">
      <c r="A20" s="230">
        <v>8</v>
      </c>
      <c r="B20" s="231" t="s">
        <v>173</v>
      </c>
      <c r="C20" s="249">
        <f t="shared" si="3"/>
        <v>51</v>
      </c>
      <c r="D20" s="249"/>
      <c r="E20" s="249">
        <v>51</v>
      </c>
      <c r="F20" s="249"/>
    </row>
    <row r="21" spans="1:6" ht="33" customHeight="1" x14ac:dyDescent="0.25">
      <c r="A21" s="393"/>
      <c r="B21" s="393"/>
      <c r="C21" s="393"/>
      <c r="D21" s="393"/>
      <c r="E21" s="393"/>
      <c r="F21" s="393"/>
    </row>
    <row r="22" spans="1:6" ht="33" customHeight="1" x14ac:dyDescent="0.25">
      <c r="A22" s="393"/>
      <c r="B22" s="393"/>
      <c r="C22" s="393"/>
      <c r="D22" s="393"/>
      <c r="E22" s="393"/>
      <c r="F22" s="393"/>
    </row>
  </sheetData>
  <mergeCells count="13">
    <mergeCell ref="A5:F5"/>
    <mergeCell ref="A7:A10"/>
    <mergeCell ref="B7:B10"/>
    <mergeCell ref="C7:F7"/>
    <mergeCell ref="C8:C10"/>
    <mergeCell ref="D8:D10"/>
    <mergeCell ref="E8:E10"/>
    <mergeCell ref="F8:F10"/>
    <mergeCell ref="A1:B1"/>
    <mergeCell ref="E1:F1"/>
    <mergeCell ref="A2:F2"/>
    <mergeCell ref="A3:F3"/>
    <mergeCell ref="A4:F4"/>
  </mergeCells>
  <phoneticPr fontId="16" type="noConversion"/>
  <pageMargins left="0.53" right="0.45" top="0.52"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sqref="A1:M13"/>
    </sheetView>
  </sheetViews>
  <sheetFormatPr defaultRowHeight="15" x14ac:dyDescent="0.25"/>
  <cols>
    <col min="1" max="1" width="4.85546875" customWidth="1"/>
    <col min="2" max="2" width="20.7109375" customWidth="1"/>
  </cols>
  <sheetData>
    <row r="1" spans="1:13" s="125" customFormat="1" x14ac:dyDescent="0.25">
      <c r="A1" s="636" t="s">
        <v>178</v>
      </c>
      <c r="B1" s="636"/>
      <c r="C1" s="636"/>
      <c r="D1" s="636"/>
      <c r="L1" s="126" t="s">
        <v>149</v>
      </c>
    </row>
    <row r="2" spans="1:13" s="125" customFormat="1" x14ac:dyDescent="0.25">
      <c r="A2" s="636" t="s">
        <v>421</v>
      </c>
      <c r="B2" s="636"/>
      <c r="C2" s="636"/>
      <c r="D2" s="636"/>
      <c r="E2" s="636"/>
      <c r="F2" s="636"/>
      <c r="G2" s="636"/>
      <c r="H2" s="636"/>
      <c r="I2" s="636"/>
      <c r="J2" s="636"/>
      <c r="K2" s="636"/>
      <c r="L2" s="636"/>
      <c r="M2" s="636"/>
    </row>
    <row r="3" spans="1:13" s="125" customFormat="1" x14ac:dyDescent="0.25">
      <c r="K3" s="637" t="s">
        <v>42</v>
      </c>
      <c r="L3" s="637"/>
      <c r="M3" s="637"/>
    </row>
    <row r="4" spans="1:13" s="125" customFormat="1" x14ac:dyDescent="0.25">
      <c r="A4" s="638" t="s">
        <v>13</v>
      </c>
      <c r="B4" s="638" t="s">
        <v>150</v>
      </c>
      <c r="C4" s="638" t="s">
        <v>672</v>
      </c>
      <c r="D4" s="638" t="s">
        <v>440</v>
      </c>
      <c r="E4" s="638"/>
      <c r="F4" s="638"/>
      <c r="G4" s="638"/>
      <c r="H4" s="638" t="s">
        <v>671</v>
      </c>
      <c r="I4" s="638" t="s">
        <v>441</v>
      </c>
      <c r="J4" s="638"/>
      <c r="K4" s="638"/>
      <c r="L4" s="638"/>
      <c r="M4" s="638" t="s">
        <v>662</v>
      </c>
    </row>
    <row r="5" spans="1:13" s="125" customFormat="1" ht="39" customHeight="1" x14ac:dyDescent="0.25">
      <c r="A5" s="638"/>
      <c r="B5" s="638"/>
      <c r="C5" s="638"/>
      <c r="D5" s="635" t="s">
        <v>151</v>
      </c>
      <c r="E5" s="635"/>
      <c r="F5" s="635" t="s">
        <v>152</v>
      </c>
      <c r="G5" s="635" t="s">
        <v>153</v>
      </c>
      <c r="H5" s="638"/>
      <c r="I5" s="635" t="s">
        <v>151</v>
      </c>
      <c r="J5" s="635"/>
      <c r="K5" s="635" t="s">
        <v>152</v>
      </c>
      <c r="L5" s="635" t="s">
        <v>153</v>
      </c>
      <c r="M5" s="638"/>
    </row>
    <row r="6" spans="1:13" s="125" customFormat="1" ht="60" x14ac:dyDescent="0.25">
      <c r="A6" s="638"/>
      <c r="B6" s="638"/>
      <c r="C6" s="638"/>
      <c r="D6" s="523" t="s">
        <v>45</v>
      </c>
      <c r="E6" s="523" t="s">
        <v>661</v>
      </c>
      <c r="F6" s="635"/>
      <c r="G6" s="635"/>
      <c r="H6" s="638"/>
      <c r="I6" s="523" t="s">
        <v>45</v>
      </c>
      <c r="J6" s="523" t="s">
        <v>154</v>
      </c>
      <c r="K6" s="635"/>
      <c r="L6" s="635"/>
      <c r="M6" s="638"/>
    </row>
    <row r="7" spans="1:13" s="125" customFormat="1" x14ac:dyDescent="0.25">
      <c r="A7" s="523" t="s">
        <v>17</v>
      </c>
      <c r="B7" s="523" t="s">
        <v>18</v>
      </c>
      <c r="C7" s="523">
        <v>1</v>
      </c>
      <c r="D7" s="523">
        <v>2</v>
      </c>
      <c r="E7" s="523">
        <v>3</v>
      </c>
      <c r="F7" s="523">
        <v>4</v>
      </c>
      <c r="G7" s="523" t="s">
        <v>155</v>
      </c>
      <c r="H7" s="523" t="s">
        <v>156</v>
      </c>
      <c r="I7" s="523">
        <v>7</v>
      </c>
      <c r="J7" s="523">
        <v>8</v>
      </c>
      <c r="K7" s="523">
        <v>9</v>
      </c>
      <c r="L7" s="523" t="s">
        <v>157</v>
      </c>
      <c r="M7" s="523" t="s">
        <v>158</v>
      </c>
    </row>
    <row r="8" spans="1:13" s="125" customFormat="1" ht="27" customHeight="1" x14ac:dyDescent="0.25">
      <c r="A8" s="180">
        <v>1</v>
      </c>
      <c r="B8" s="181" t="s">
        <v>391</v>
      </c>
      <c r="C8" s="182">
        <v>69.117999999999995</v>
      </c>
      <c r="D8" s="182">
        <v>300</v>
      </c>
      <c r="E8" s="182">
        <v>30</v>
      </c>
      <c r="F8" s="182">
        <v>200</v>
      </c>
      <c r="G8" s="182">
        <f>D8-F8</f>
        <v>100</v>
      </c>
      <c r="H8" s="182">
        <f>C8+D8-F8</f>
        <v>169.11799999999999</v>
      </c>
      <c r="I8" s="182">
        <v>80</v>
      </c>
      <c r="J8" s="178">
        <v>50</v>
      </c>
      <c r="K8" s="178">
        <v>229.11799999999999</v>
      </c>
      <c r="L8" s="183">
        <f>I8-K8</f>
        <v>-149.11799999999999</v>
      </c>
      <c r="M8" s="183"/>
    </row>
    <row r="9" spans="1:13" s="125" customFormat="1" ht="27" customHeight="1" x14ac:dyDescent="0.25">
      <c r="A9" s="132">
        <v>2</v>
      </c>
      <c r="B9" s="133" t="s">
        <v>392</v>
      </c>
      <c r="C9" s="184">
        <v>618.83900000000006</v>
      </c>
      <c r="D9" s="184">
        <v>1227.133</v>
      </c>
      <c r="E9" s="184"/>
      <c r="F9" s="184">
        <v>1580.6</v>
      </c>
      <c r="G9" s="184">
        <f>D9-F9</f>
        <v>-353.46699999999987</v>
      </c>
      <c r="H9" s="184">
        <f>C9+D9-F9</f>
        <v>265.3720000000003</v>
      </c>
      <c r="I9" s="184">
        <v>1500</v>
      </c>
      <c r="J9" s="177"/>
      <c r="K9" s="177">
        <v>1765.3720000000003</v>
      </c>
      <c r="L9" s="185">
        <f>I9-K9</f>
        <v>-265.3720000000003</v>
      </c>
      <c r="M9" s="185"/>
    </row>
    <row r="10" spans="1:13" s="125" customFormat="1" ht="27" customHeight="1" x14ac:dyDescent="0.25">
      <c r="A10" s="132">
        <v>3</v>
      </c>
      <c r="B10" s="133" t="s">
        <v>393</v>
      </c>
      <c r="C10" s="184">
        <v>74.981999999999999</v>
      </c>
      <c r="D10" s="184">
        <v>233.465</v>
      </c>
      <c r="E10" s="184"/>
      <c r="F10" s="184">
        <v>233.465</v>
      </c>
      <c r="G10" s="184">
        <f>D10-F10</f>
        <v>0</v>
      </c>
      <c r="H10" s="184">
        <f>C10+D10-F10</f>
        <v>74.981999999999999</v>
      </c>
      <c r="I10" s="184">
        <v>70</v>
      </c>
      <c r="J10" s="177"/>
      <c r="K10" s="177">
        <v>144.982</v>
      </c>
      <c r="L10" s="185">
        <f>I10-K10</f>
        <v>-74.981999999999999</v>
      </c>
      <c r="M10" s="185"/>
    </row>
    <row r="11" spans="1:13" s="125" customFormat="1" ht="27" customHeight="1" x14ac:dyDescent="0.25">
      <c r="A11" s="132">
        <v>4</v>
      </c>
      <c r="B11" s="133" t="s">
        <v>394</v>
      </c>
      <c r="C11" s="184">
        <v>517.63400000000001</v>
      </c>
      <c r="D11" s="184">
        <v>210</v>
      </c>
      <c r="E11" s="184"/>
      <c r="F11" s="184">
        <v>519.63</v>
      </c>
      <c r="G11" s="184">
        <f>D11-F11</f>
        <v>-309.63</v>
      </c>
      <c r="H11" s="184">
        <f>C11+D11-F11</f>
        <v>208.00400000000002</v>
      </c>
      <c r="I11" s="184">
        <v>220</v>
      </c>
      <c r="J11" s="177"/>
      <c r="K11" s="177">
        <v>428</v>
      </c>
      <c r="L11" s="185">
        <f>I11-K11</f>
        <v>-208</v>
      </c>
      <c r="M11" s="185"/>
    </row>
    <row r="12" spans="1:13" s="125" customFormat="1" ht="27" customHeight="1" x14ac:dyDescent="0.25">
      <c r="A12" s="186">
        <v>5</v>
      </c>
      <c r="B12" s="187" t="s">
        <v>395</v>
      </c>
      <c r="C12" s="188">
        <v>0</v>
      </c>
      <c r="D12" s="188">
        <f>E12</f>
        <v>100</v>
      </c>
      <c r="E12" s="188">
        <v>100</v>
      </c>
      <c r="F12" s="188">
        <v>100</v>
      </c>
      <c r="G12" s="188">
        <f>D12-F12</f>
        <v>0</v>
      </c>
      <c r="H12" s="188">
        <f>C12+D12-F12</f>
        <v>0</v>
      </c>
      <c r="I12" s="188">
        <v>500</v>
      </c>
      <c r="J12" s="179">
        <v>100</v>
      </c>
      <c r="K12" s="179">
        <v>100</v>
      </c>
      <c r="L12" s="189">
        <f>I12-K12</f>
        <v>400</v>
      </c>
      <c r="M12" s="189"/>
    </row>
    <row r="13" spans="1:13" s="125" customFormat="1" ht="22.5" customHeight="1" x14ac:dyDescent="0.25">
      <c r="A13" s="523"/>
      <c r="B13" s="524" t="s">
        <v>396</v>
      </c>
      <c r="C13" s="525">
        <f t="shared" ref="C13:L13" si="0">SUM(C8:C12)</f>
        <v>1280.5730000000001</v>
      </c>
      <c r="D13" s="525">
        <f t="shared" si="0"/>
        <v>2070.598</v>
      </c>
      <c r="E13" s="525">
        <f t="shared" si="0"/>
        <v>130</v>
      </c>
      <c r="F13" s="525">
        <f t="shared" si="0"/>
        <v>2633.6949999999997</v>
      </c>
      <c r="G13" s="525">
        <f t="shared" si="0"/>
        <v>-563.09699999999987</v>
      </c>
      <c r="H13" s="525">
        <f t="shared" si="0"/>
        <v>717.47600000000034</v>
      </c>
      <c r="I13" s="525">
        <f t="shared" si="0"/>
        <v>2370</v>
      </c>
      <c r="J13" s="525">
        <f t="shared" si="0"/>
        <v>150</v>
      </c>
      <c r="K13" s="525">
        <f t="shared" si="0"/>
        <v>2667.4720000000002</v>
      </c>
      <c r="L13" s="525">
        <f t="shared" si="0"/>
        <v>-297.47200000000032</v>
      </c>
      <c r="M13" s="525"/>
    </row>
    <row r="14" spans="1:13" s="125" customFormat="1" x14ac:dyDescent="0.25">
      <c r="A14" s="190"/>
      <c r="B14" s="191"/>
      <c r="C14" s="192"/>
      <c r="D14" s="192"/>
      <c r="E14" s="192"/>
      <c r="F14" s="192"/>
      <c r="G14" s="192"/>
      <c r="H14" s="192"/>
      <c r="I14" s="192"/>
      <c r="J14" s="192"/>
      <c r="K14" s="192"/>
      <c r="L14" s="192"/>
      <c r="M14" s="192"/>
    </row>
    <row r="15" spans="1:13" s="125" customFormat="1" x14ac:dyDescent="0.25">
      <c r="A15" s="190"/>
      <c r="B15" s="191"/>
      <c r="C15" s="192"/>
      <c r="D15" s="192"/>
      <c r="E15" s="192"/>
      <c r="F15" s="192"/>
      <c r="G15" s="192"/>
      <c r="H15" s="192"/>
      <c r="I15" s="192"/>
      <c r="J15" s="192"/>
      <c r="K15" s="192"/>
      <c r="L15" s="192"/>
      <c r="M15" s="192"/>
    </row>
    <row r="16" spans="1:13" s="125" customFormat="1" x14ac:dyDescent="0.25">
      <c r="A16" s="190"/>
      <c r="B16" s="191"/>
      <c r="C16" s="192"/>
      <c r="D16" s="192"/>
      <c r="E16" s="192"/>
      <c r="F16" s="192"/>
      <c r="G16" s="192"/>
      <c r="H16" s="192"/>
      <c r="I16" s="192"/>
      <c r="J16" s="192"/>
      <c r="K16" s="192"/>
      <c r="L16" s="192"/>
      <c r="M16" s="192"/>
    </row>
  </sheetData>
  <mergeCells count="16">
    <mergeCell ref="L5:L6"/>
    <mergeCell ref="A1:D1"/>
    <mergeCell ref="A2:M2"/>
    <mergeCell ref="K3:M3"/>
    <mergeCell ref="A4:A6"/>
    <mergeCell ref="B4:B6"/>
    <mergeCell ref="C4:C6"/>
    <mergeCell ref="D4:G4"/>
    <mergeCell ref="H4:H6"/>
    <mergeCell ref="I4:L4"/>
    <mergeCell ref="M4:M6"/>
    <mergeCell ref="D5:E5"/>
    <mergeCell ref="F5:F6"/>
    <mergeCell ref="G5:G6"/>
    <mergeCell ref="I5:J5"/>
    <mergeCell ref="K5:K6"/>
  </mergeCells>
  <printOptions horizontalCentered="1"/>
  <pageMargins left="0.27559055118110237" right="0.19685039370078741" top="0.31496062992125984" bottom="0.31496062992125984" header="0.31496062992125984" footer="0.31496062992125984"/>
  <pageSetup paperSize="9" orientation="landscape" verticalDpi="0"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61"/>
  <sheetViews>
    <sheetView topLeftCell="A49" workbookViewId="0">
      <selection sqref="A1:Z56"/>
    </sheetView>
  </sheetViews>
  <sheetFormatPr defaultColWidth="9.140625" defaultRowHeight="12" outlineLevelRow="1" outlineLevelCol="1" x14ac:dyDescent="0.25"/>
  <cols>
    <col min="1" max="1" width="4.28515625" style="5" customWidth="1"/>
    <col min="2" max="2" width="41.7109375" style="4" customWidth="1"/>
    <col min="3" max="3" width="10.28515625" style="6" customWidth="1"/>
    <col min="4" max="4" width="10.7109375" style="5" customWidth="1"/>
    <col min="5" max="5" width="7.28515625" style="6" customWidth="1"/>
    <col min="6" max="6" width="8.28515625" style="6" customWidth="1"/>
    <col min="7" max="7" width="12" style="6" customWidth="1"/>
    <col min="8" max="8" width="9.7109375" style="5" bestFit="1" customWidth="1"/>
    <col min="9" max="9" width="9.7109375" style="4" bestFit="1" customWidth="1"/>
    <col min="10" max="11" width="7.7109375" style="4" hidden="1" customWidth="1" outlineLevel="1"/>
    <col min="12" max="13" width="8.140625" style="7" hidden="1" customWidth="1" outlineLevel="1"/>
    <col min="14" max="14" width="8.28515625" style="4" hidden="1" customWidth="1" outlineLevel="1"/>
    <col min="15" max="15" width="6.7109375" style="4" hidden="1" customWidth="1" outlineLevel="1"/>
    <col min="16" max="16" width="9" style="7" hidden="1" customWidth="1" outlineLevel="1"/>
    <col min="17" max="18" width="9.28515625" style="8" hidden="1" customWidth="1" outlineLevel="1"/>
    <col min="19" max="19" width="8.7109375" style="8" hidden="1" customWidth="1" outlineLevel="1"/>
    <col min="20" max="20" width="9.85546875" style="8" customWidth="1" outlineLevel="1"/>
    <col min="21" max="21" width="14.28515625" style="8" customWidth="1" outlineLevel="1"/>
    <col min="22" max="22" width="9.85546875" style="8" customWidth="1" outlineLevel="1"/>
    <col min="23" max="23" width="14.28515625" style="8" customWidth="1" outlineLevel="1"/>
    <col min="24" max="24" width="11.140625" style="8" customWidth="1" outlineLevel="1"/>
    <col min="25" max="25" width="15.140625" style="8" customWidth="1" outlineLevel="1"/>
    <col min="26" max="26" width="11.140625" style="14" customWidth="1"/>
    <col min="27" max="27" width="9.28515625" style="3" bestFit="1" customWidth="1"/>
    <col min="28" max="28" width="15.28515625" style="4" bestFit="1" customWidth="1"/>
    <col min="29" max="29" width="9.140625" style="4"/>
    <col min="30" max="34" width="9.28515625" style="4" bestFit="1" customWidth="1"/>
    <col min="35" max="16384" width="9.140625" style="4"/>
  </cols>
  <sheetData>
    <row r="1" spans="1:28" s="196" customFormat="1" ht="12.75" x14ac:dyDescent="0.25">
      <c r="A1" s="640" t="s">
        <v>178</v>
      </c>
      <c r="B1" s="640"/>
      <c r="C1" s="394"/>
      <c r="D1" s="394"/>
      <c r="E1" s="394"/>
      <c r="F1" s="394"/>
      <c r="G1" s="394"/>
      <c r="H1" s="394"/>
      <c r="I1" s="394"/>
      <c r="J1" s="394"/>
      <c r="K1" s="394"/>
      <c r="L1" s="394"/>
      <c r="M1" s="394"/>
      <c r="N1" s="394"/>
      <c r="O1" s="394"/>
      <c r="P1" s="394"/>
      <c r="Q1" s="394"/>
      <c r="R1" s="394"/>
      <c r="S1" s="394"/>
      <c r="T1" s="394"/>
      <c r="U1" s="394"/>
      <c r="V1" s="394"/>
      <c r="W1" s="394"/>
      <c r="X1" s="394"/>
      <c r="Y1" s="640" t="s">
        <v>655</v>
      </c>
      <c r="Z1" s="640"/>
      <c r="AA1" s="195"/>
    </row>
    <row r="2" spans="1:28" s="196" customFormat="1" ht="12.75" x14ac:dyDescent="0.25">
      <c r="A2" s="639" t="s">
        <v>658</v>
      </c>
      <c r="B2" s="640"/>
      <c r="C2" s="640"/>
      <c r="D2" s="640"/>
      <c r="E2" s="640"/>
      <c r="F2" s="640"/>
      <c r="G2" s="640"/>
      <c r="H2" s="640"/>
      <c r="I2" s="640"/>
      <c r="J2" s="640"/>
      <c r="K2" s="640"/>
      <c r="L2" s="640"/>
      <c r="M2" s="640"/>
      <c r="N2" s="640"/>
      <c r="O2" s="640"/>
      <c r="P2" s="640"/>
      <c r="Q2" s="640"/>
      <c r="R2" s="640"/>
      <c r="S2" s="640"/>
      <c r="T2" s="640"/>
      <c r="U2" s="640"/>
      <c r="V2" s="640"/>
      <c r="W2" s="640"/>
      <c r="X2" s="640"/>
      <c r="Y2" s="640"/>
      <c r="Z2" s="640"/>
      <c r="AA2" s="195"/>
    </row>
    <row r="3" spans="1:28" x14ac:dyDescent="0.25">
      <c r="A3" s="395"/>
      <c r="B3" s="396"/>
      <c r="C3" s="397"/>
      <c r="D3" s="395"/>
      <c r="E3" s="397"/>
      <c r="F3" s="397"/>
      <c r="G3" s="398"/>
      <c r="H3" s="395"/>
      <c r="I3" s="396"/>
      <c r="J3" s="399"/>
      <c r="K3" s="399"/>
      <c r="L3" s="399"/>
      <c r="M3" s="399"/>
      <c r="N3" s="399"/>
      <c r="O3" s="399"/>
      <c r="P3" s="399"/>
      <c r="Q3" s="400"/>
      <c r="R3" s="400"/>
      <c r="S3" s="400"/>
      <c r="T3" s="400"/>
      <c r="U3" s="400"/>
      <c r="V3" s="400"/>
      <c r="W3" s="400"/>
      <c r="X3" s="400"/>
      <c r="Y3" s="666" t="s">
        <v>444</v>
      </c>
      <c r="Z3" s="666"/>
    </row>
    <row r="4" spans="1:28" ht="25.5" customHeight="1" x14ac:dyDescent="0.25">
      <c r="A4" s="641" t="s">
        <v>578</v>
      </c>
      <c r="B4" s="641" t="s">
        <v>579</v>
      </c>
      <c r="C4" s="641" t="s">
        <v>580</v>
      </c>
      <c r="D4" s="641" t="s">
        <v>574</v>
      </c>
      <c r="E4" s="641" t="s">
        <v>575</v>
      </c>
      <c r="F4" s="641" t="s">
        <v>581</v>
      </c>
      <c r="G4" s="644" t="s">
        <v>576</v>
      </c>
      <c r="H4" s="645"/>
      <c r="I4" s="646"/>
      <c r="J4" s="647" t="s">
        <v>582</v>
      </c>
      <c r="K4" s="648"/>
      <c r="L4" s="647" t="s">
        <v>583</v>
      </c>
      <c r="M4" s="661"/>
      <c r="N4" s="661"/>
      <c r="O4" s="648"/>
      <c r="P4" s="662" t="s">
        <v>584</v>
      </c>
      <c r="Q4" s="662"/>
      <c r="R4" s="662"/>
      <c r="S4" s="662"/>
      <c r="T4" s="663" t="s">
        <v>669</v>
      </c>
      <c r="U4" s="664"/>
      <c r="V4" s="663" t="s">
        <v>656</v>
      </c>
      <c r="W4" s="664"/>
      <c r="X4" s="663" t="s">
        <v>441</v>
      </c>
      <c r="Y4" s="664"/>
      <c r="Z4" s="651" t="s">
        <v>402</v>
      </c>
    </row>
    <row r="5" spans="1:28" ht="21" customHeight="1" x14ac:dyDescent="0.25">
      <c r="A5" s="642"/>
      <c r="B5" s="642"/>
      <c r="C5" s="642"/>
      <c r="D5" s="642"/>
      <c r="E5" s="642"/>
      <c r="F5" s="642"/>
      <c r="G5" s="653" t="s">
        <v>585</v>
      </c>
      <c r="H5" s="653" t="s">
        <v>586</v>
      </c>
      <c r="I5" s="653" t="s">
        <v>587</v>
      </c>
      <c r="J5" s="401"/>
      <c r="K5" s="401"/>
      <c r="L5" s="657" t="s">
        <v>588</v>
      </c>
      <c r="M5" s="654" t="s">
        <v>589</v>
      </c>
      <c r="N5" s="655"/>
      <c r="O5" s="656"/>
      <c r="P5" s="670" t="s">
        <v>590</v>
      </c>
      <c r="Q5" s="671"/>
      <c r="R5" s="657" t="s">
        <v>591</v>
      </c>
      <c r="S5" s="657"/>
      <c r="T5" s="649" t="s">
        <v>45</v>
      </c>
      <c r="U5" s="658" t="s">
        <v>657</v>
      </c>
      <c r="V5" s="649" t="s">
        <v>45</v>
      </c>
      <c r="W5" s="658" t="s">
        <v>657</v>
      </c>
      <c r="X5" s="649" t="s">
        <v>45</v>
      </c>
      <c r="Y5" s="658" t="s">
        <v>657</v>
      </c>
      <c r="Z5" s="652"/>
    </row>
    <row r="6" spans="1:28" x14ac:dyDescent="0.25">
      <c r="A6" s="642"/>
      <c r="B6" s="642"/>
      <c r="C6" s="642"/>
      <c r="D6" s="642"/>
      <c r="E6" s="642"/>
      <c r="F6" s="642"/>
      <c r="G6" s="653"/>
      <c r="H6" s="653"/>
      <c r="I6" s="653"/>
      <c r="J6" s="649" t="s">
        <v>592</v>
      </c>
      <c r="K6" s="649" t="s">
        <v>593</v>
      </c>
      <c r="L6" s="657"/>
      <c r="M6" s="657" t="s">
        <v>45</v>
      </c>
      <c r="N6" s="669" t="s">
        <v>67</v>
      </c>
      <c r="O6" s="669"/>
      <c r="P6" s="658" t="s">
        <v>577</v>
      </c>
      <c r="Q6" s="658" t="s">
        <v>593</v>
      </c>
      <c r="R6" s="657"/>
      <c r="S6" s="657"/>
      <c r="T6" s="665"/>
      <c r="U6" s="659"/>
      <c r="V6" s="665"/>
      <c r="W6" s="659"/>
      <c r="X6" s="665"/>
      <c r="Y6" s="659"/>
      <c r="Z6" s="652"/>
    </row>
    <row r="7" spans="1:28" ht="9.6" customHeight="1" x14ac:dyDescent="0.25">
      <c r="A7" s="642"/>
      <c r="B7" s="643"/>
      <c r="C7" s="642"/>
      <c r="D7" s="642"/>
      <c r="E7" s="642"/>
      <c r="F7" s="642"/>
      <c r="G7" s="653"/>
      <c r="H7" s="653"/>
      <c r="I7" s="653"/>
      <c r="J7" s="650"/>
      <c r="K7" s="650"/>
      <c r="L7" s="657"/>
      <c r="M7" s="657"/>
      <c r="N7" s="402" t="s">
        <v>594</v>
      </c>
      <c r="O7" s="402" t="s">
        <v>595</v>
      </c>
      <c r="P7" s="659"/>
      <c r="Q7" s="659"/>
      <c r="R7" s="403" t="s">
        <v>577</v>
      </c>
      <c r="S7" s="403" t="s">
        <v>596</v>
      </c>
      <c r="T7" s="650"/>
      <c r="U7" s="404"/>
      <c r="V7" s="650"/>
      <c r="W7" s="404"/>
      <c r="X7" s="650"/>
      <c r="Y7" s="660"/>
      <c r="Z7" s="652"/>
    </row>
    <row r="8" spans="1:28" s="194" customFormat="1" x14ac:dyDescent="0.25">
      <c r="A8" s="405">
        <v>1</v>
      </c>
      <c r="B8" s="405">
        <v>2</v>
      </c>
      <c r="C8" s="405">
        <v>3</v>
      </c>
      <c r="D8" s="405">
        <v>4</v>
      </c>
      <c r="E8" s="405">
        <v>5</v>
      </c>
      <c r="F8" s="405">
        <v>6</v>
      </c>
      <c r="G8" s="406">
        <v>7</v>
      </c>
      <c r="H8" s="406">
        <v>8</v>
      </c>
      <c r="I8" s="406">
        <v>9</v>
      </c>
      <c r="J8" s="407">
        <v>10</v>
      </c>
      <c r="K8" s="407">
        <v>11</v>
      </c>
      <c r="L8" s="407" t="s">
        <v>336</v>
      </c>
      <c r="M8" s="407" t="s">
        <v>337</v>
      </c>
      <c r="N8" s="407" t="s">
        <v>341</v>
      </c>
      <c r="O8" s="407" t="s">
        <v>342</v>
      </c>
      <c r="P8" s="407" t="s">
        <v>343</v>
      </c>
      <c r="Q8" s="407" t="s">
        <v>344</v>
      </c>
      <c r="R8" s="407" t="s">
        <v>597</v>
      </c>
      <c r="S8" s="407" t="s">
        <v>345</v>
      </c>
      <c r="T8" s="407" t="s">
        <v>598</v>
      </c>
      <c r="U8" s="407" t="s">
        <v>599</v>
      </c>
      <c r="V8" s="407" t="s">
        <v>598</v>
      </c>
      <c r="W8" s="407" t="s">
        <v>599</v>
      </c>
      <c r="X8" s="407" t="s">
        <v>600</v>
      </c>
      <c r="Y8" s="407" t="s">
        <v>601</v>
      </c>
      <c r="Z8" s="407" t="s">
        <v>602</v>
      </c>
      <c r="AA8" s="193"/>
    </row>
    <row r="9" spans="1:28" ht="21.75" customHeight="1" x14ac:dyDescent="0.25">
      <c r="A9" s="408"/>
      <c r="B9" s="409" t="s">
        <v>603</v>
      </c>
      <c r="C9" s="409"/>
      <c r="D9" s="410"/>
      <c r="E9" s="409"/>
      <c r="F9" s="409"/>
      <c r="G9" s="409"/>
      <c r="H9" s="411">
        <f t="shared" ref="H9:Y9" si="0">+H10+H27+H52</f>
        <v>623800</v>
      </c>
      <c r="I9" s="411">
        <f t="shared" si="0"/>
        <v>346160</v>
      </c>
      <c r="J9" s="411">
        <f t="shared" si="0"/>
        <v>0</v>
      </c>
      <c r="K9" s="411">
        <f t="shared" si="0"/>
        <v>0</v>
      </c>
      <c r="L9" s="411">
        <f t="shared" si="0"/>
        <v>64889.4</v>
      </c>
      <c r="M9" s="411">
        <f t="shared" si="0"/>
        <v>64989.4</v>
      </c>
      <c r="N9" s="411">
        <f t="shared" si="0"/>
        <v>0</v>
      </c>
      <c r="O9" s="411">
        <f t="shared" si="0"/>
        <v>0</v>
      </c>
      <c r="P9" s="411">
        <f t="shared" si="0"/>
        <v>19153.400000000001</v>
      </c>
      <c r="Q9" s="411">
        <f t="shared" si="0"/>
        <v>19153.400000000001</v>
      </c>
      <c r="R9" s="411">
        <f t="shared" si="0"/>
        <v>19153.400000000001</v>
      </c>
      <c r="S9" s="411">
        <f t="shared" si="0"/>
        <v>19153.400000000001</v>
      </c>
      <c r="T9" s="411">
        <f t="shared" si="0"/>
        <v>81660</v>
      </c>
      <c r="U9" s="411">
        <f t="shared" si="0"/>
        <v>81660</v>
      </c>
      <c r="V9" s="411">
        <f t="shared" si="0"/>
        <v>29153.4</v>
      </c>
      <c r="W9" s="411">
        <f t="shared" si="0"/>
        <v>29153.4</v>
      </c>
      <c r="X9" s="411">
        <f t="shared" si="0"/>
        <v>104491</v>
      </c>
      <c r="Y9" s="411">
        <f t="shared" si="0"/>
        <v>104491</v>
      </c>
      <c r="Z9" s="412"/>
      <c r="AB9" s="9"/>
    </row>
    <row r="10" spans="1:28" ht="24" x14ac:dyDescent="0.25">
      <c r="A10" s="413" t="s">
        <v>19</v>
      </c>
      <c r="B10" s="414" t="s">
        <v>604</v>
      </c>
      <c r="C10" s="415"/>
      <c r="D10" s="416"/>
      <c r="E10" s="415"/>
      <c r="F10" s="415"/>
      <c r="G10" s="417"/>
      <c r="H10" s="418">
        <f t="shared" ref="H10:Y10" si="1">H11+H20+H25</f>
        <v>60800</v>
      </c>
      <c r="I10" s="418">
        <f t="shared" si="1"/>
        <v>60800</v>
      </c>
      <c r="J10" s="418">
        <f t="shared" si="1"/>
        <v>0</v>
      </c>
      <c r="K10" s="418">
        <f t="shared" si="1"/>
        <v>0</v>
      </c>
      <c r="L10" s="418">
        <f t="shared" si="1"/>
        <v>18076.400000000001</v>
      </c>
      <c r="M10" s="418">
        <f t="shared" si="1"/>
        <v>18076.400000000001</v>
      </c>
      <c r="N10" s="418">
        <f t="shared" si="1"/>
        <v>0</v>
      </c>
      <c r="O10" s="418">
        <f t="shared" si="1"/>
        <v>0</v>
      </c>
      <c r="P10" s="419">
        <f t="shared" si="1"/>
        <v>553.4</v>
      </c>
      <c r="Q10" s="419">
        <f t="shared" si="1"/>
        <v>553.4</v>
      </c>
      <c r="R10" s="418">
        <f t="shared" si="1"/>
        <v>553.4</v>
      </c>
      <c r="S10" s="418">
        <f t="shared" si="1"/>
        <v>553.4</v>
      </c>
      <c r="T10" s="419">
        <f t="shared" ref="T10:U10" si="2">T11+T20+T25</f>
        <v>3500</v>
      </c>
      <c r="U10" s="419">
        <f t="shared" si="2"/>
        <v>3500</v>
      </c>
      <c r="V10" s="419">
        <f t="shared" si="1"/>
        <v>553.4</v>
      </c>
      <c r="W10" s="419">
        <f t="shared" si="1"/>
        <v>553.4</v>
      </c>
      <c r="X10" s="418">
        <f t="shared" si="1"/>
        <v>12662</v>
      </c>
      <c r="Y10" s="418">
        <f t="shared" si="1"/>
        <v>12662</v>
      </c>
      <c r="Z10" s="420"/>
    </row>
    <row r="11" spans="1:28" s="11" customFormat="1" ht="30" customHeight="1" outlineLevel="1" x14ac:dyDescent="0.25">
      <c r="A11" s="413" t="s">
        <v>256</v>
      </c>
      <c r="B11" s="415" t="s">
        <v>605</v>
      </c>
      <c r="C11" s="421"/>
      <c r="D11" s="415"/>
      <c r="E11" s="415"/>
      <c r="F11" s="415"/>
      <c r="G11" s="422"/>
      <c r="H11" s="418">
        <f>+H12+H15+H18</f>
        <v>33800</v>
      </c>
      <c r="I11" s="418">
        <f>+I12+I15+I18</f>
        <v>33800</v>
      </c>
      <c r="J11" s="418">
        <f t="shared" ref="J11:O11" si="3">+J12+J15</f>
        <v>0</v>
      </c>
      <c r="K11" s="418">
        <f t="shared" si="3"/>
        <v>0</v>
      </c>
      <c r="L11" s="418">
        <f t="shared" si="3"/>
        <v>5444.4</v>
      </c>
      <c r="M11" s="418">
        <f t="shared" si="3"/>
        <v>5444.4</v>
      </c>
      <c r="N11" s="418">
        <f t="shared" si="3"/>
        <v>0</v>
      </c>
      <c r="O11" s="418">
        <f t="shared" si="3"/>
        <v>0</v>
      </c>
      <c r="P11" s="418">
        <f>+P12+P15+P18</f>
        <v>553.4</v>
      </c>
      <c r="Q11" s="418">
        <f>+Q12+Q15+Q18</f>
        <v>553.4</v>
      </c>
      <c r="R11" s="418">
        <f>+R12+R15</f>
        <v>553.4</v>
      </c>
      <c r="S11" s="418">
        <f>+S12+S15</f>
        <v>553.4</v>
      </c>
      <c r="T11" s="418">
        <f t="shared" ref="T11:Y11" si="4">+T12+T15+T18</f>
        <v>3500</v>
      </c>
      <c r="U11" s="418">
        <f t="shared" si="4"/>
        <v>3500</v>
      </c>
      <c r="V11" s="418">
        <f t="shared" si="4"/>
        <v>553.4</v>
      </c>
      <c r="W11" s="418">
        <f t="shared" si="4"/>
        <v>553.4</v>
      </c>
      <c r="X11" s="418">
        <f t="shared" si="4"/>
        <v>7832</v>
      </c>
      <c r="Y11" s="418">
        <f t="shared" si="4"/>
        <v>7832</v>
      </c>
      <c r="Z11" s="423"/>
      <c r="AA11" s="10"/>
    </row>
    <row r="12" spans="1:28" s="11" customFormat="1" ht="30" customHeight="1" outlineLevel="1" x14ac:dyDescent="0.25">
      <c r="A12" s="413" t="s">
        <v>606</v>
      </c>
      <c r="B12" s="424" t="s">
        <v>607</v>
      </c>
      <c r="C12" s="415"/>
      <c r="D12" s="415"/>
      <c r="E12" s="415"/>
      <c r="F12" s="415"/>
      <c r="G12" s="415"/>
      <c r="H12" s="425">
        <f>SUM(H13:H14)</f>
        <v>13300</v>
      </c>
      <c r="I12" s="425">
        <f>SUM(I13:I14)</f>
        <v>13300</v>
      </c>
      <c r="J12" s="426">
        <f t="shared" ref="J12:Y12" si="5">SUM(J13:J14)</f>
        <v>0</v>
      </c>
      <c r="K12" s="426">
        <f t="shared" si="5"/>
        <v>0</v>
      </c>
      <c r="L12" s="426">
        <f t="shared" si="5"/>
        <v>2714.4</v>
      </c>
      <c r="M12" s="426">
        <f t="shared" si="5"/>
        <v>2714.4</v>
      </c>
      <c r="N12" s="426">
        <f t="shared" si="5"/>
        <v>0</v>
      </c>
      <c r="O12" s="426">
        <f t="shared" si="5"/>
        <v>0</v>
      </c>
      <c r="P12" s="425">
        <f t="shared" si="5"/>
        <v>553.4</v>
      </c>
      <c r="Q12" s="425">
        <f t="shared" si="5"/>
        <v>553.4</v>
      </c>
      <c r="R12" s="425">
        <f t="shared" si="5"/>
        <v>553.4</v>
      </c>
      <c r="S12" s="425">
        <f t="shared" si="5"/>
        <v>553.4</v>
      </c>
      <c r="T12" s="426">
        <f t="shared" ref="T12:U12" si="6">SUM(T13:T14)</f>
        <v>3500</v>
      </c>
      <c r="U12" s="426">
        <f t="shared" si="6"/>
        <v>3500</v>
      </c>
      <c r="V12" s="426">
        <f t="shared" si="5"/>
        <v>553.4</v>
      </c>
      <c r="W12" s="426">
        <f t="shared" si="5"/>
        <v>553.4</v>
      </c>
      <c r="X12" s="425">
        <f t="shared" si="5"/>
        <v>2102</v>
      </c>
      <c r="Y12" s="425">
        <f t="shared" si="5"/>
        <v>2102</v>
      </c>
      <c r="Z12" s="423"/>
      <c r="AA12" s="10"/>
    </row>
    <row r="13" spans="1:28" s="11" customFormat="1" ht="46.5" customHeight="1" outlineLevel="1" x14ac:dyDescent="0.25">
      <c r="A13" s="427" t="s">
        <v>324</v>
      </c>
      <c r="B13" s="428" t="s">
        <v>608</v>
      </c>
      <c r="C13" s="429" t="s">
        <v>609</v>
      </c>
      <c r="D13" s="430" t="s">
        <v>610</v>
      </c>
      <c r="E13" s="430"/>
      <c r="F13" s="430" t="s">
        <v>611</v>
      </c>
      <c r="G13" s="431" t="s">
        <v>612</v>
      </c>
      <c r="H13" s="432">
        <v>9800</v>
      </c>
      <c r="I13" s="432">
        <v>9800</v>
      </c>
      <c r="J13" s="433"/>
      <c r="K13" s="433"/>
      <c r="L13" s="434">
        <f>M13</f>
        <v>1898</v>
      </c>
      <c r="M13" s="434">
        <v>1898</v>
      </c>
      <c r="N13" s="418"/>
      <c r="O13" s="418"/>
      <c r="P13" s="435"/>
      <c r="Q13" s="436"/>
      <c r="R13" s="425"/>
      <c r="S13" s="425"/>
      <c r="T13" s="437"/>
      <c r="U13" s="437"/>
      <c r="V13" s="437"/>
      <c r="W13" s="437"/>
      <c r="X13" s="437">
        <f t="shared" ref="X13:X14" si="7">+Y13</f>
        <v>1700</v>
      </c>
      <c r="Y13" s="434">
        <v>1700</v>
      </c>
      <c r="Z13" s="420"/>
      <c r="AA13" s="10"/>
    </row>
    <row r="14" spans="1:28" s="11" customFormat="1" ht="43.5" customHeight="1" outlineLevel="1" x14ac:dyDescent="0.25">
      <c r="A14" s="427" t="s">
        <v>326</v>
      </c>
      <c r="B14" s="428" t="s">
        <v>613</v>
      </c>
      <c r="C14" s="429" t="s">
        <v>609</v>
      </c>
      <c r="D14" s="430" t="s">
        <v>610</v>
      </c>
      <c r="E14" s="430"/>
      <c r="F14" s="430" t="s">
        <v>611</v>
      </c>
      <c r="G14" s="431" t="s">
        <v>614</v>
      </c>
      <c r="H14" s="432">
        <v>3500</v>
      </c>
      <c r="I14" s="432">
        <v>3500</v>
      </c>
      <c r="J14" s="433"/>
      <c r="K14" s="433"/>
      <c r="L14" s="434">
        <f>M14</f>
        <v>816.4</v>
      </c>
      <c r="M14" s="434">
        <f>553.4+263</f>
        <v>816.4</v>
      </c>
      <c r="N14" s="418"/>
      <c r="O14" s="418"/>
      <c r="P14" s="438">
        <f>+Q14</f>
        <v>553.4</v>
      </c>
      <c r="Q14" s="439">
        <v>553.4</v>
      </c>
      <c r="R14" s="440">
        <f>+S14</f>
        <v>553.4</v>
      </c>
      <c r="S14" s="440">
        <v>553.4</v>
      </c>
      <c r="T14" s="440">
        <f>+U14</f>
        <v>3500</v>
      </c>
      <c r="U14" s="440">
        <f>O14+I14</f>
        <v>3500</v>
      </c>
      <c r="V14" s="440">
        <f>+W14</f>
        <v>553.4</v>
      </c>
      <c r="W14" s="440">
        <f>Q14+K14</f>
        <v>553.4</v>
      </c>
      <c r="X14" s="437">
        <f t="shared" si="7"/>
        <v>402</v>
      </c>
      <c r="Y14" s="437">
        <f>402</f>
        <v>402</v>
      </c>
      <c r="Z14" s="420"/>
      <c r="AA14" s="10"/>
    </row>
    <row r="15" spans="1:28" s="11" customFormat="1" ht="21.75" customHeight="1" outlineLevel="1" x14ac:dyDescent="0.25">
      <c r="A15" s="413" t="s">
        <v>615</v>
      </c>
      <c r="B15" s="424" t="s">
        <v>616</v>
      </c>
      <c r="C15" s="415"/>
      <c r="D15" s="415"/>
      <c r="E15" s="415"/>
      <c r="F15" s="415"/>
      <c r="G15" s="415"/>
      <c r="H15" s="441">
        <f t="shared" ref="H15:W15" si="8">SUM(H16:H17)</f>
        <v>20500</v>
      </c>
      <c r="I15" s="441">
        <f t="shared" si="8"/>
        <v>20500</v>
      </c>
      <c r="J15" s="441">
        <f t="shared" si="8"/>
        <v>0</v>
      </c>
      <c r="K15" s="441">
        <f t="shared" si="8"/>
        <v>0</v>
      </c>
      <c r="L15" s="441">
        <f t="shared" si="8"/>
        <v>2730</v>
      </c>
      <c r="M15" s="441">
        <f t="shared" si="8"/>
        <v>2730</v>
      </c>
      <c r="N15" s="441">
        <f t="shared" si="8"/>
        <v>0</v>
      </c>
      <c r="O15" s="441">
        <f t="shared" si="8"/>
        <v>0</v>
      </c>
      <c r="P15" s="441">
        <f t="shared" si="8"/>
        <v>0</v>
      </c>
      <c r="Q15" s="441">
        <f t="shared" si="8"/>
        <v>0</v>
      </c>
      <c r="R15" s="441">
        <f t="shared" si="8"/>
        <v>0</v>
      </c>
      <c r="S15" s="441">
        <f t="shared" si="8"/>
        <v>0</v>
      </c>
      <c r="T15" s="441">
        <f t="shared" ref="T15:U15" si="9">SUM(T16:T17)</f>
        <v>0</v>
      </c>
      <c r="U15" s="441">
        <f t="shared" si="9"/>
        <v>0</v>
      </c>
      <c r="V15" s="441">
        <f t="shared" si="8"/>
        <v>0</v>
      </c>
      <c r="W15" s="441">
        <f t="shared" si="8"/>
        <v>0</v>
      </c>
      <c r="X15" s="441">
        <f>SUM(X16:X17)</f>
        <v>2730</v>
      </c>
      <c r="Y15" s="441">
        <f>SUM(Y16:Y17)</f>
        <v>2730</v>
      </c>
      <c r="Z15" s="423"/>
      <c r="AA15" s="10"/>
    </row>
    <row r="16" spans="1:28" ht="39.75" customHeight="1" x14ac:dyDescent="0.25">
      <c r="A16" s="427" t="s">
        <v>324</v>
      </c>
      <c r="B16" s="442" t="s">
        <v>617</v>
      </c>
      <c r="C16" s="429" t="s">
        <v>609</v>
      </c>
      <c r="D16" s="443" t="s">
        <v>618</v>
      </c>
      <c r="E16" s="430"/>
      <c r="F16" s="430" t="s">
        <v>611</v>
      </c>
      <c r="G16" s="431" t="s">
        <v>619</v>
      </c>
      <c r="H16" s="444">
        <f>+I16</f>
        <v>12700</v>
      </c>
      <c r="I16" s="444">
        <v>12700</v>
      </c>
      <c r="J16" s="445"/>
      <c r="K16" s="445"/>
      <c r="L16" s="434">
        <f>+M16</f>
        <v>1690</v>
      </c>
      <c r="M16" s="437">
        <v>1690</v>
      </c>
      <c r="N16" s="445"/>
      <c r="O16" s="445"/>
      <c r="P16" s="446"/>
      <c r="Q16" s="439"/>
      <c r="R16" s="437"/>
      <c r="S16" s="437"/>
      <c r="T16" s="437"/>
      <c r="U16" s="437"/>
      <c r="V16" s="437"/>
      <c r="W16" s="437"/>
      <c r="X16" s="437">
        <f>+Y16</f>
        <v>1690</v>
      </c>
      <c r="Y16" s="437">
        <v>1690</v>
      </c>
      <c r="Z16" s="447"/>
      <c r="AB16" s="9"/>
    </row>
    <row r="17" spans="1:31" ht="79.5" customHeight="1" x14ac:dyDescent="0.25">
      <c r="A17" s="427" t="s">
        <v>326</v>
      </c>
      <c r="B17" s="448" t="s">
        <v>620</v>
      </c>
      <c r="C17" s="429" t="s">
        <v>609</v>
      </c>
      <c r="D17" s="443" t="s">
        <v>610</v>
      </c>
      <c r="E17" s="430"/>
      <c r="F17" s="430" t="s">
        <v>611</v>
      </c>
      <c r="G17" s="431" t="s">
        <v>621</v>
      </c>
      <c r="H17" s="432">
        <f>+I17</f>
        <v>7800</v>
      </c>
      <c r="I17" s="434">
        <v>7800</v>
      </c>
      <c r="J17" s="433"/>
      <c r="K17" s="433"/>
      <c r="L17" s="434">
        <f t="shared" ref="L17" si="10">+M17</f>
        <v>1040</v>
      </c>
      <c r="M17" s="434">
        <v>1040</v>
      </c>
      <c r="N17" s="418"/>
      <c r="O17" s="418"/>
      <c r="P17" s="435"/>
      <c r="Q17" s="439"/>
      <c r="R17" s="437"/>
      <c r="S17" s="437"/>
      <c r="T17" s="437"/>
      <c r="U17" s="437"/>
      <c r="V17" s="437"/>
      <c r="W17" s="437"/>
      <c r="X17" s="437">
        <f>+Y17</f>
        <v>1040</v>
      </c>
      <c r="Y17" s="434">
        <v>1040</v>
      </c>
      <c r="Z17" s="447"/>
      <c r="AB17" s="9"/>
    </row>
    <row r="18" spans="1:31" x14ac:dyDescent="0.25">
      <c r="A18" s="413" t="s">
        <v>622</v>
      </c>
      <c r="B18" s="424" t="s">
        <v>623</v>
      </c>
      <c r="C18" s="429"/>
      <c r="D18" s="443"/>
      <c r="E18" s="430"/>
      <c r="F18" s="430"/>
      <c r="G18" s="431"/>
      <c r="H18" s="432"/>
      <c r="I18" s="434"/>
      <c r="J18" s="433"/>
      <c r="K18" s="433"/>
      <c r="L18" s="434"/>
      <c r="M18" s="434"/>
      <c r="N18" s="418"/>
      <c r="O18" s="418"/>
      <c r="P18" s="435"/>
      <c r="Q18" s="439"/>
      <c r="R18" s="437"/>
      <c r="S18" s="437"/>
      <c r="T18" s="437"/>
      <c r="U18" s="437"/>
      <c r="V18" s="437"/>
      <c r="W18" s="437"/>
      <c r="X18" s="449">
        <f>X19</f>
        <v>3000</v>
      </c>
      <c r="Y18" s="449">
        <f>Y19</f>
        <v>3000</v>
      </c>
      <c r="Z18" s="447"/>
      <c r="AB18" s="9"/>
    </row>
    <row r="19" spans="1:31" ht="36" customHeight="1" x14ac:dyDescent="0.25">
      <c r="A19" s="450">
        <v>1</v>
      </c>
      <c r="B19" s="451" t="s">
        <v>624</v>
      </c>
      <c r="C19" s="429" t="s">
        <v>625</v>
      </c>
      <c r="D19" s="443" t="s">
        <v>610</v>
      </c>
      <c r="E19" s="430"/>
      <c r="F19" s="430" t="s">
        <v>626</v>
      </c>
      <c r="G19" s="431"/>
      <c r="H19" s="432">
        <f>I19</f>
        <v>6200</v>
      </c>
      <c r="I19" s="434">
        <v>6200</v>
      </c>
      <c r="J19" s="433"/>
      <c r="K19" s="433"/>
      <c r="L19" s="434">
        <f>+M19</f>
        <v>3139</v>
      </c>
      <c r="M19" s="434">
        <v>3139</v>
      </c>
      <c r="N19" s="418"/>
      <c r="O19" s="418"/>
      <c r="P19" s="435"/>
      <c r="Q19" s="439"/>
      <c r="R19" s="437"/>
      <c r="S19" s="437"/>
      <c r="T19" s="437"/>
      <c r="U19" s="437"/>
      <c r="V19" s="437"/>
      <c r="W19" s="437"/>
      <c r="X19" s="452">
        <f>Y19</f>
        <v>3000</v>
      </c>
      <c r="Y19" s="452">
        <v>3000</v>
      </c>
      <c r="Z19" s="447"/>
      <c r="AB19" s="9"/>
    </row>
    <row r="20" spans="1:31" s="11" customFormat="1" ht="39.75" customHeight="1" outlineLevel="1" x14ac:dyDescent="0.25">
      <c r="A20" s="413" t="s">
        <v>281</v>
      </c>
      <c r="B20" s="415" t="s">
        <v>627</v>
      </c>
      <c r="C20" s="421"/>
      <c r="D20" s="415"/>
      <c r="E20" s="415"/>
      <c r="F20" s="415"/>
      <c r="G20" s="422"/>
      <c r="H20" s="418">
        <f t="shared" ref="H20:X20" si="11">+H21+H22</f>
        <v>11000</v>
      </c>
      <c r="I20" s="418">
        <f t="shared" si="11"/>
        <v>11000</v>
      </c>
      <c r="J20" s="418">
        <f t="shared" si="11"/>
        <v>0</v>
      </c>
      <c r="K20" s="418">
        <f t="shared" si="11"/>
        <v>0</v>
      </c>
      <c r="L20" s="418">
        <f t="shared" si="11"/>
        <v>2632</v>
      </c>
      <c r="M20" s="418">
        <f t="shared" si="11"/>
        <v>2632</v>
      </c>
      <c r="N20" s="418">
        <f t="shared" si="11"/>
        <v>0</v>
      </c>
      <c r="O20" s="418">
        <f t="shared" si="11"/>
        <v>0</v>
      </c>
      <c r="P20" s="418">
        <f t="shared" si="11"/>
        <v>0</v>
      </c>
      <c r="Q20" s="418">
        <f t="shared" si="11"/>
        <v>0</v>
      </c>
      <c r="R20" s="418">
        <f t="shared" si="11"/>
        <v>0</v>
      </c>
      <c r="S20" s="418">
        <f t="shared" si="11"/>
        <v>0</v>
      </c>
      <c r="T20" s="418">
        <f t="shared" ref="T20:U20" si="12">+T21+T22</f>
        <v>0</v>
      </c>
      <c r="U20" s="418">
        <f t="shared" si="12"/>
        <v>0</v>
      </c>
      <c r="V20" s="418">
        <f t="shared" si="11"/>
        <v>0</v>
      </c>
      <c r="W20" s="418">
        <f t="shared" si="11"/>
        <v>0</v>
      </c>
      <c r="X20" s="418">
        <f t="shared" si="11"/>
        <v>2330</v>
      </c>
      <c r="Y20" s="418">
        <f>+Y21+Y22</f>
        <v>2330</v>
      </c>
      <c r="Z20" s="423"/>
      <c r="AA20" s="10"/>
    </row>
    <row r="21" spans="1:31" s="11" customFormat="1" ht="28.5" customHeight="1" outlineLevel="1" x14ac:dyDescent="0.25">
      <c r="A21" s="413" t="s">
        <v>606</v>
      </c>
      <c r="B21" s="424" t="s">
        <v>607</v>
      </c>
      <c r="C21" s="421"/>
      <c r="D21" s="415"/>
      <c r="E21" s="415"/>
      <c r="F21" s="415"/>
      <c r="G21" s="422"/>
      <c r="H21" s="418"/>
      <c r="I21" s="418"/>
      <c r="J21" s="418"/>
      <c r="K21" s="418"/>
      <c r="L21" s="418"/>
      <c r="M21" s="418"/>
      <c r="N21" s="418"/>
      <c r="O21" s="418"/>
      <c r="P21" s="418"/>
      <c r="Q21" s="418"/>
      <c r="R21" s="418"/>
      <c r="S21" s="418"/>
      <c r="T21" s="418"/>
      <c r="U21" s="418"/>
      <c r="V21" s="418"/>
      <c r="W21" s="418"/>
      <c r="X21" s="418"/>
      <c r="Y21" s="418"/>
      <c r="Z21" s="423"/>
      <c r="AA21" s="10"/>
    </row>
    <row r="22" spans="1:31" s="11" customFormat="1" outlineLevel="1" x14ac:dyDescent="0.25">
      <c r="A22" s="413" t="s">
        <v>615</v>
      </c>
      <c r="B22" s="424" t="s">
        <v>623</v>
      </c>
      <c r="C22" s="415"/>
      <c r="D22" s="415"/>
      <c r="E22" s="415"/>
      <c r="F22" s="415"/>
      <c r="G22" s="422"/>
      <c r="H22" s="418">
        <f t="shared" ref="H22:X22" si="13">SUM(H23:H24)</f>
        <v>11000</v>
      </c>
      <c r="I22" s="418">
        <f t="shared" si="13"/>
        <v>11000</v>
      </c>
      <c r="J22" s="418">
        <f t="shared" si="13"/>
        <v>0</v>
      </c>
      <c r="K22" s="418">
        <f t="shared" si="13"/>
        <v>0</v>
      </c>
      <c r="L22" s="418">
        <f t="shared" si="13"/>
        <v>2632</v>
      </c>
      <c r="M22" s="418">
        <f t="shared" si="13"/>
        <v>2632</v>
      </c>
      <c r="N22" s="418">
        <f t="shared" si="13"/>
        <v>0</v>
      </c>
      <c r="O22" s="418">
        <f t="shared" si="13"/>
        <v>0</v>
      </c>
      <c r="P22" s="418">
        <f t="shared" si="13"/>
        <v>0</v>
      </c>
      <c r="Q22" s="418">
        <f t="shared" si="13"/>
        <v>0</v>
      </c>
      <c r="R22" s="418">
        <f t="shared" si="13"/>
        <v>0</v>
      </c>
      <c r="S22" s="418">
        <f t="shared" si="13"/>
        <v>0</v>
      </c>
      <c r="T22" s="418">
        <f t="shared" ref="T22:U22" si="14">SUM(T23:T24)</f>
        <v>0</v>
      </c>
      <c r="U22" s="418">
        <f t="shared" si="14"/>
        <v>0</v>
      </c>
      <c r="V22" s="418">
        <f t="shared" si="13"/>
        <v>0</v>
      </c>
      <c r="W22" s="418">
        <f t="shared" si="13"/>
        <v>0</v>
      </c>
      <c r="X22" s="418">
        <f t="shared" si="13"/>
        <v>2330</v>
      </c>
      <c r="Y22" s="418">
        <f>SUM(Y23:Y24)</f>
        <v>2330</v>
      </c>
      <c r="Z22" s="423"/>
      <c r="AA22" s="10"/>
    </row>
    <row r="23" spans="1:31" ht="37.5" customHeight="1" outlineLevel="1" x14ac:dyDescent="0.25">
      <c r="A23" s="450" t="s">
        <v>324</v>
      </c>
      <c r="B23" s="453" t="s">
        <v>628</v>
      </c>
      <c r="C23" s="430" t="s">
        <v>609</v>
      </c>
      <c r="D23" s="430" t="s">
        <v>169</v>
      </c>
      <c r="E23" s="430"/>
      <c r="F23" s="430">
        <v>2022</v>
      </c>
      <c r="G23" s="430"/>
      <c r="H23" s="454">
        <f>+I23</f>
        <v>1000</v>
      </c>
      <c r="I23" s="434">
        <v>1000</v>
      </c>
      <c r="J23" s="434"/>
      <c r="K23" s="434"/>
      <c r="L23" s="454">
        <f>+M23</f>
        <v>752</v>
      </c>
      <c r="M23" s="434">
        <v>752</v>
      </c>
      <c r="N23" s="418"/>
      <c r="O23" s="418"/>
      <c r="P23" s="435"/>
      <c r="Q23" s="436"/>
      <c r="R23" s="425"/>
      <c r="S23" s="425"/>
      <c r="T23" s="437"/>
      <c r="U23" s="437"/>
      <c r="V23" s="437"/>
      <c r="W23" s="437"/>
      <c r="X23" s="437">
        <v>752</v>
      </c>
      <c r="Y23" s="437">
        <v>752</v>
      </c>
      <c r="Z23" s="420"/>
    </row>
    <row r="24" spans="1:31" ht="75" customHeight="1" outlineLevel="1" x14ac:dyDescent="0.25">
      <c r="A24" s="450" t="s">
        <v>326</v>
      </c>
      <c r="B24" s="453" t="s">
        <v>629</v>
      </c>
      <c r="C24" s="430" t="s">
        <v>609</v>
      </c>
      <c r="D24" s="430" t="s">
        <v>177</v>
      </c>
      <c r="E24" s="430"/>
      <c r="F24" s="430" t="s">
        <v>626</v>
      </c>
      <c r="G24" s="430"/>
      <c r="H24" s="454">
        <f>+I24</f>
        <v>10000</v>
      </c>
      <c r="I24" s="434">
        <v>10000</v>
      </c>
      <c r="J24" s="434"/>
      <c r="K24" s="434"/>
      <c r="L24" s="454">
        <f>+M24</f>
        <v>1880</v>
      </c>
      <c r="M24" s="434">
        <v>1880</v>
      </c>
      <c r="N24" s="418"/>
      <c r="O24" s="418"/>
      <c r="P24" s="435"/>
      <c r="Q24" s="436"/>
      <c r="R24" s="425"/>
      <c r="S24" s="425"/>
      <c r="T24" s="437"/>
      <c r="U24" s="437"/>
      <c r="V24" s="437"/>
      <c r="W24" s="437"/>
      <c r="X24" s="437">
        <f>+Y24</f>
        <v>1578</v>
      </c>
      <c r="Y24" s="437">
        <f>2330-752</f>
        <v>1578</v>
      </c>
      <c r="Z24" s="420"/>
    </row>
    <row r="25" spans="1:31" s="11" customFormat="1" outlineLevel="1" x14ac:dyDescent="0.25">
      <c r="A25" s="413" t="s">
        <v>630</v>
      </c>
      <c r="B25" s="415" t="s">
        <v>631</v>
      </c>
      <c r="C25" s="421"/>
      <c r="D25" s="415"/>
      <c r="E25" s="415"/>
      <c r="F25" s="415"/>
      <c r="G25" s="422"/>
      <c r="H25" s="418">
        <f t="shared" ref="H25:K25" si="15">+H26</f>
        <v>16000</v>
      </c>
      <c r="I25" s="418">
        <f t="shared" si="15"/>
        <v>16000</v>
      </c>
      <c r="J25" s="418">
        <f t="shared" si="15"/>
        <v>0</v>
      </c>
      <c r="K25" s="418">
        <f t="shared" si="15"/>
        <v>0</v>
      </c>
      <c r="L25" s="418">
        <f>+L26</f>
        <v>10000</v>
      </c>
      <c r="M25" s="418">
        <f>+M26</f>
        <v>10000</v>
      </c>
      <c r="N25" s="418">
        <f t="shared" ref="N25:O25" si="16">+N26</f>
        <v>0</v>
      </c>
      <c r="O25" s="418">
        <f t="shared" si="16"/>
        <v>0</v>
      </c>
      <c r="P25" s="418"/>
      <c r="Q25" s="418"/>
      <c r="R25" s="418"/>
      <c r="S25" s="418"/>
      <c r="T25" s="418"/>
      <c r="U25" s="418"/>
      <c r="V25" s="418"/>
      <c r="W25" s="418"/>
      <c r="X25" s="418">
        <f>X26</f>
        <v>2500</v>
      </c>
      <c r="Y25" s="418">
        <v>2500</v>
      </c>
      <c r="Z25" s="423"/>
      <c r="AA25" s="10"/>
    </row>
    <row r="26" spans="1:31" s="11" customFormat="1" ht="30" customHeight="1" outlineLevel="1" x14ac:dyDescent="0.25">
      <c r="A26" s="450">
        <v>1</v>
      </c>
      <c r="B26" s="453" t="s">
        <v>632</v>
      </c>
      <c r="C26" s="429" t="s">
        <v>609</v>
      </c>
      <c r="D26" s="443" t="s">
        <v>610</v>
      </c>
      <c r="E26" s="415"/>
      <c r="F26" s="430" t="s">
        <v>626</v>
      </c>
      <c r="G26" s="415"/>
      <c r="H26" s="437">
        <f>I26</f>
        <v>16000</v>
      </c>
      <c r="I26" s="437">
        <v>16000</v>
      </c>
      <c r="J26" s="425"/>
      <c r="K26" s="425"/>
      <c r="L26" s="437">
        <f>+M26</f>
        <v>10000</v>
      </c>
      <c r="M26" s="437">
        <v>10000</v>
      </c>
      <c r="N26" s="425"/>
      <c r="O26" s="425"/>
      <c r="P26" s="425"/>
      <c r="Q26" s="425"/>
      <c r="R26" s="425"/>
      <c r="S26" s="425"/>
      <c r="T26" s="425"/>
      <c r="U26" s="425"/>
      <c r="V26" s="425"/>
      <c r="W26" s="425"/>
      <c r="X26" s="437">
        <f>Y26</f>
        <v>2500</v>
      </c>
      <c r="Y26" s="437">
        <f>Y25</f>
        <v>2500</v>
      </c>
      <c r="Z26" s="447"/>
      <c r="AA26" s="10"/>
    </row>
    <row r="27" spans="1:31" ht="24" x14ac:dyDescent="0.25">
      <c r="A27" s="413" t="s">
        <v>633</v>
      </c>
      <c r="B27" s="415" t="s">
        <v>634</v>
      </c>
      <c r="C27" s="415"/>
      <c r="D27" s="416"/>
      <c r="E27" s="415"/>
      <c r="F27" s="415"/>
      <c r="G27" s="417">
        <f>SUM(G33:G51)</f>
        <v>0</v>
      </c>
      <c r="H27" s="418">
        <f t="shared" ref="H27:S27" si="17">H31+H36+H40+H51</f>
        <v>552000</v>
      </c>
      <c r="I27" s="418">
        <f t="shared" si="17"/>
        <v>274360</v>
      </c>
      <c r="J27" s="418">
        <f t="shared" si="17"/>
        <v>0</v>
      </c>
      <c r="K27" s="418">
        <f t="shared" si="17"/>
        <v>0</v>
      </c>
      <c r="L27" s="418">
        <f t="shared" si="17"/>
        <v>45945</v>
      </c>
      <c r="M27" s="418">
        <f t="shared" si="17"/>
        <v>46045</v>
      </c>
      <c r="N27" s="418">
        <f t="shared" si="17"/>
        <v>0</v>
      </c>
      <c r="O27" s="418">
        <f t="shared" si="17"/>
        <v>0</v>
      </c>
      <c r="P27" s="419">
        <f t="shared" si="17"/>
        <v>18600</v>
      </c>
      <c r="Q27" s="419">
        <f t="shared" si="17"/>
        <v>18600</v>
      </c>
      <c r="R27" s="418">
        <f t="shared" si="17"/>
        <v>18600</v>
      </c>
      <c r="S27" s="418">
        <f t="shared" si="17"/>
        <v>18600</v>
      </c>
      <c r="T27" s="419">
        <f t="shared" ref="T27:Y27" si="18">T28+T31+T36+T40+T51</f>
        <v>78160</v>
      </c>
      <c r="U27" s="419">
        <f t="shared" si="18"/>
        <v>78160</v>
      </c>
      <c r="V27" s="419">
        <f t="shared" si="18"/>
        <v>28600</v>
      </c>
      <c r="W27" s="419">
        <f t="shared" si="18"/>
        <v>28600</v>
      </c>
      <c r="X27" s="419">
        <f t="shared" si="18"/>
        <v>91059</v>
      </c>
      <c r="Y27" s="419">
        <f t="shared" si="18"/>
        <v>91059</v>
      </c>
      <c r="Z27" s="420"/>
      <c r="AB27" s="9"/>
      <c r="AD27" s="4">
        <f>+AE27-AC27</f>
        <v>0</v>
      </c>
      <c r="AE27" s="4">
        <f>+AB27*0.1</f>
        <v>0</v>
      </c>
    </row>
    <row r="28" spans="1:31" ht="25.5" x14ac:dyDescent="0.25">
      <c r="A28" s="413" t="s">
        <v>606</v>
      </c>
      <c r="B28" s="517" t="s">
        <v>607</v>
      </c>
      <c r="C28" s="415"/>
      <c r="D28" s="416"/>
      <c r="E28" s="415"/>
      <c r="F28" s="415"/>
      <c r="G28" s="417"/>
      <c r="H28" s="418"/>
      <c r="I28" s="418"/>
      <c r="J28" s="418"/>
      <c r="K28" s="418"/>
      <c r="L28" s="418"/>
      <c r="M28" s="418"/>
      <c r="N28" s="418"/>
      <c r="O28" s="418"/>
      <c r="P28" s="419"/>
      <c r="Q28" s="419"/>
      <c r="R28" s="418"/>
      <c r="S28" s="418"/>
      <c r="T28" s="419">
        <f>SUM(T29:T30)</f>
        <v>10000</v>
      </c>
      <c r="U28" s="419">
        <f t="shared" ref="U28:Y28" si="19">SUM(U29:U30)</f>
        <v>10000</v>
      </c>
      <c r="V28" s="419">
        <f t="shared" si="19"/>
        <v>10000</v>
      </c>
      <c r="W28" s="419">
        <f t="shared" si="19"/>
        <v>10000</v>
      </c>
      <c r="X28" s="419">
        <f t="shared" si="19"/>
        <v>1500</v>
      </c>
      <c r="Y28" s="419">
        <f t="shared" si="19"/>
        <v>1500</v>
      </c>
      <c r="Z28" s="420"/>
      <c r="AB28" s="9"/>
    </row>
    <row r="29" spans="1:31" ht="25.5" x14ac:dyDescent="0.25">
      <c r="A29" s="413" t="s">
        <v>23</v>
      </c>
      <c r="B29" s="518" t="s">
        <v>617</v>
      </c>
      <c r="C29" s="415"/>
      <c r="D29" s="416"/>
      <c r="E29" s="415"/>
      <c r="F29" s="415"/>
      <c r="G29" s="417"/>
      <c r="H29" s="418"/>
      <c r="I29" s="418"/>
      <c r="J29" s="418"/>
      <c r="K29" s="418"/>
      <c r="L29" s="418"/>
      <c r="M29" s="418"/>
      <c r="N29" s="418"/>
      <c r="O29" s="418"/>
      <c r="P29" s="419"/>
      <c r="Q29" s="419"/>
      <c r="R29" s="418"/>
      <c r="S29" s="418"/>
      <c r="T29" s="437">
        <f t="shared" ref="T29:T30" si="20">+U29</f>
        <v>10000</v>
      </c>
      <c r="U29" s="520">
        <v>10000</v>
      </c>
      <c r="V29" s="437">
        <f t="shared" ref="V29" si="21">+W29</f>
        <v>10000</v>
      </c>
      <c r="W29" s="520">
        <v>10000</v>
      </c>
      <c r="X29" s="437">
        <f t="shared" ref="X29:X30" si="22">+Y29</f>
        <v>1000</v>
      </c>
      <c r="Y29" s="521">
        <v>1000</v>
      </c>
      <c r="Z29" s="420"/>
      <c r="AB29" s="9"/>
    </row>
    <row r="30" spans="1:31" ht="25.5" x14ac:dyDescent="0.25">
      <c r="A30" s="413" t="s">
        <v>23</v>
      </c>
      <c r="B30" s="519" t="s">
        <v>613</v>
      </c>
      <c r="C30" s="415"/>
      <c r="D30" s="416"/>
      <c r="E30" s="415"/>
      <c r="F30" s="415"/>
      <c r="G30" s="417"/>
      <c r="H30" s="418"/>
      <c r="I30" s="418"/>
      <c r="J30" s="418"/>
      <c r="K30" s="418"/>
      <c r="L30" s="418"/>
      <c r="M30" s="418"/>
      <c r="N30" s="418"/>
      <c r="O30" s="418"/>
      <c r="P30" s="419"/>
      <c r="Q30" s="419"/>
      <c r="R30" s="418"/>
      <c r="S30" s="418"/>
      <c r="T30" s="437">
        <f t="shared" si="20"/>
        <v>0</v>
      </c>
      <c r="U30" s="419"/>
      <c r="V30" s="419"/>
      <c r="W30" s="419"/>
      <c r="X30" s="437">
        <f t="shared" si="22"/>
        <v>500</v>
      </c>
      <c r="Y30" s="521">
        <v>500</v>
      </c>
      <c r="Z30" s="420"/>
      <c r="AB30" s="9"/>
    </row>
    <row r="31" spans="1:31" s="11" customFormat="1" ht="24.75" customHeight="1" x14ac:dyDescent="0.25">
      <c r="A31" s="413" t="s">
        <v>615</v>
      </c>
      <c r="B31" s="424" t="s">
        <v>616</v>
      </c>
      <c r="C31" s="415"/>
      <c r="D31" s="415"/>
      <c r="E31" s="415"/>
      <c r="F31" s="415"/>
      <c r="G31" s="422"/>
      <c r="H31" s="418">
        <f>SUM(H32:H35)</f>
        <v>500800</v>
      </c>
      <c r="I31" s="418">
        <f>SUM(I32:I35)</f>
        <v>224000</v>
      </c>
      <c r="J31" s="418">
        <f t="shared" ref="J31:O31" si="23">SUM(J32:J32)</f>
        <v>0</v>
      </c>
      <c r="K31" s="418">
        <f t="shared" si="23"/>
        <v>0</v>
      </c>
      <c r="L31" s="418">
        <f t="shared" si="23"/>
        <v>5745</v>
      </c>
      <c r="M31" s="418">
        <f t="shared" si="23"/>
        <v>5745</v>
      </c>
      <c r="N31" s="418">
        <f t="shared" si="23"/>
        <v>0</v>
      </c>
      <c r="O31" s="418">
        <f t="shared" si="23"/>
        <v>0</v>
      </c>
      <c r="P31" s="418">
        <f t="shared" ref="P31:Y31" si="24">SUM(P32:P35)</f>
        <v>13100</v>
      </c>
      <c r="Q31" s="418">
        <f t="shared" si="24"/>
        <v>13100</v>
      </c>
      <c r="R31" s="418">
        <f t="shared" si="24"/>
        <v>13100</v>
      </c>
      <c r="S31" s="418">
        <f t="shared" si="24"/>
        <v>13100</v>
      </c>
      <c r="T31" s="418">
        <f t="shared" si="24"/>
        <v>17800</v>
      </c>
      <c r="U31" s="418">
        <f t="shared" si="24"/>
        <v>17800</v>
      </c>
      <c r="V31" s="418">
        <f t="shared" si="24"/>
        <v>13100</v>
      </c>
      <c r="W31" s="418">
        <f t="shared" si="24"/>
        <v>13100</v>
      </c>
      <c r="X31" s="418">
        <f t="shared" si="24"/>
        <v>58000</v>
      </c>
      <c r="Y31" s="418">
        <f t="shared" si="24"/>
        <v>58000</v>
      </c>
      <c r="Z31" s="420"/>
      <c r="AA31" s="10"/>
      <c r="AB31" s="12"/>
    </row>
    <row r="32" spans="1:31" s="11" customFormat="1" ht="24" x14ac:dyDescent="0.25">
      <c r="A32" s="427">
        <v>1</v>
      </c>
      <c r="B32" s="448" t="s">
        <v>620</v>
      </c>
      <c r="C32" s="429" t="s">
        <v>609</v>
      </c>
      <c r="D32" s="443" t="s">
        <v>610</v>
      </c>
      <c r="E32" s="430"/>
      <c r="F32" s="430" t="s">
        <v>611</v>
      </c>
      <c r="G32" s="431" t="s">
        <v>621</v>
      </c>
      <c r="H32" s="432">
        <f>+I32</f>
        <v>7800</v>
      </c>
      <c r="I32" s="434">
        <v>7800</v>
      </c>
      <c r="J32" s="433"/>
      <c r="K32" s="433"/>
      <c r="L32" s="432">
        <f>+M32</f>
        <v>5745</v>
      </c>
      <c r="M32" s="434">
        <v>5745</v>
      </c>
      <c r="N32" s="418"/>
      <c r="O32" s="418"/>
      <c r="P32" s="446">
        <f>+Q32</f>
        <v>3100</v>
      </c>
      <c r="Q32" s="439">
        <v>3100</v>
      </c>
      <c r="R32" s="437">
        <f>+S32</f>
        <v>3100</v>
      </c>
      <c r="S32" s="437">
        <v>3100</v>
      </c>
      <c r="T32" s="437">
        <f t="shared" ref="T32" si="25">+U32</f>
        <v>7800</v>
      </c>
      <c r="U32" s="437">
        <f>O32+I32</f>
        <v>7800</v>
      </c>
      <c r="V32" s="437">
        <f t="shared" ref="V32" si="26">+W32</f>
        <v>3100</v>
      </c>
      <c r="W32" s="437">
        <f>Q32+K32</f>
        <v>3100</v>
      </c>
      <c r="X32" s="437">
        <f t="shared" ref="X32" si="27">+Y32</f>
        <v>3000</v>
      </c>
      <c r="Y32" s="437">
        <v>3000</v>
      </c>
      <c r="Z32" s="447"/>
      <c r="AA32" s="10"/>
      <c r="AB32" s="12"/>
    </row>
    <row r="33" spans="1:32" s="11" customFormat="1" ht="45" customHeight="1" outlineLevel="1" x14ac:dyDescent="0.25">
      <c r="A33" s="427">
        <v>2</v>
      </c>
      <c r="B33" s="448" t="s">
        <v>635</v>
      </c>
      <c r="C33" s="429" t="s">
        <v>609</v>
      </c>
      <c r="D33" s="443" t="s">
        <v>176</v>
      </c>
      <c r="E33" s="430"/>
      <c r="F33" s="430" t="s">
        <v>636</v>
      </c>
      <c r="G33" s="431" t="s">
        <v>637</v>
      </c>
      <c r="H33" s="444">
        <v>123000</v>
      </c>
      <c r="I33" s="455">
        <v>88000</v>
      </c>
      <c r="J33" s="434">
        <f>K33</f>
        <v>10000</v>
      </c>
      <c r="K33" s="434">
        <v>10000</v>
      </c>
      <c r="L33" s="445">
        <f>M33</f>
        <v>86083.160999999993</v>
      </c>
      <c r="M33" s="434">
        <v>86083.160999999993</v>
      </c>
      <c r="N33" s="434"/>
      <c r="O33" s="434"/>
      <c r="P33" s="438"/>
      <c r="Q33" s="438"/>
      <c r="R33" s="437"/>
      <c r="S33" s="437"/>
      <c r="T33" s="437"/>
      <c r="U33" s="437"/>
      <c r="V33" s="437"/>
      <c r="W33" s="437"/>
      <c r="X33" s="437">
        <f t="shared" ref="X33:X50" si="28">+Y33</f>
        <v>25000</v>
      </c>
      <c r="Y33" s="437">
        <v>25000</v>
      </c>
      <c r="Z33" s="420"/>
      <c r="AA33" s="10"/>
      <c r="AB33" s="13"/>
    </row>
    <row r="34" spans="1:32" ht="39.75" customHeight="1" x14ac:dyDescent="0.25">
      <c r="A34" s="427">
        <v>3</v>
      </c>
      <c r="B34" s="453" t="s">
        <v>638</v>
      </c>
      <c r="C34" s="429" t="s">
        <v>609</v>
      </c>
      <c r="D34" s="443" t="s">
        <v>618</v>
      </c>
      <c r="E34" s="430"/>
      <c r="F34" s="430" t="s">
        <v>611</v>
      </c>
      <c r="G34" s="431" t="s">
        <v>639</v>
      </c>
      <c r="H34" s="432">
        <f>I34</f>
        <v>52000</v>
      </c>
      <c r="I34" s="432">
        <v>52000</v>
      </c>
      <c r="J34" s="433"/>
      <c r="K34" s="433"/>
      <c r="L34" s="432">
        <f>M34</f>
        <v>52000</v>
      </c>
      <c r="M34" s="434">
        <v>52000</v>
      </c>
      <c r="N34" s="418"/>
      <c r="O34" s="418"/>
      <c r="P34" s="446">
        <f>+Q34</f>
        <v>10000</v>
      </c>
      <c r="Q34" s="439">
        <v>10000</v>
      </c>
      <c r="R34" s="437">
        <f>+S34</f>
        <v>10000</v>
      </c>
      <c r="S34" s="437">
        <v>10000</v>
      </c>
      <c r="T34" s="437">
        <f t="shared" ref="T34" si="29">+U34</f>
        <v>10000</v>
      </c>
      <c r="U34" s="437">
        <v>10000</v>
      </c>
      <c r="V34" s="437">
        <f t="shared" ref="V34:V51" si="30">+W34</f>
        <v>10000</v>
      </c>
      <c r="W34" s="437">
        <v>10000</v>
      </c>
      <c r="X34" s="437">
        <f>Y34</f>
        <v>10000</v>
      </c>
      <c r="Y34" s="437">
        <v>10000</v>
      </c>
      <c r="Z34" s="420"/>
    </row>
    <row r="35" spans="1:32" ht="36" x14ac:dyDescent="0.25">
      <c r="A35" s="427">
        <v>4</v>
      </c>
      <c r="B35" s="448" t="s">
        <v>640</v>
      </c>
      <c r="C35" s="429" t="s">
        <v>609</v>
      </c>
      <c r="D35" s="443" t="s">
        <v>641</v>
      </c>
      <c r="E35" s="430"/>
      <c r="F35" s="430" t="s">
        <v>611</v>
      </c>
      <c r="G35" s="431" t="s">
        <v>642</v>
      </c>
      <c r="H35" s="444">
        <v>318000</v>
      </c>
      <c r="I35" s="455">
        <v>76200</v>
      </c>
      <c r="J35" s="434"/>
      <c r="K35" s="434"/>
      <c r="L35" s="434">
        <f>+M35</f>
        <v>63204</v>
      </c>
      <c r="M35" s="434">
        <f>76200-12996</f>
        <v>63204</v>
      </c>
      <c r="N35" s="434"/>
      <c r="O35" s="434"/>
      <c r="P35" s="446">
        <f>+Q35</f>
        <v>0</v>
      </c>
      <c r="Q35" s="439"/>
      <c r="R35" s="437"/>
      <c r="S35" s="437"/>
      <c r="T35" s="437"/>
      <c r="U35" s="437"/>
      <c r="V35" s="437"/>
      <c r="W35" s="437"/>
      <c r="X35" s="437">
        <f t="shared" si="28"/>
        <v>20000</v>
      </c>
      <c r="Y35" s="437">
        <v>20000</v>
      </c>
      <c r="Z35" s="420"/>
      <c r="AB35" s="7"/>
    </row>
    <row r="36" spans="1:32" ht="25.5" customHeight="1" x14ac:dyDescent="0.25">
      <c r="A36" s="413" t="s">
        <v>615</v>
      </c>
      <c r="B36" s="456" t="s">
        <v>643</v>
      </c>
      <c r="C36" s="429"/>
      <c r="D36" s="443"/>
      <c r="E36" s="430"/>
      <c r="F36" s="430"/>
      <c r="G36" s="431"/>
      <c r="H36" s="444"/>
      <c r="I36" s="455"/>
      <c r="J36" s="434"/>
      <c r="K36" s="434"/>
      <c r="L36" s="434"/>
      <c r="M36" s="455"/>
      <c r="N36" s="434"/>
      <c r="O36" s="434"/>
      <c r="P36" s="446"/>
      <c r="Q36" s="439"/>
      <c r="R36" s="437"/>
      <c r="S36" s="437"/>
      <c r="T36" s="437"/>
      <c r="U36" s="437"/>
      <c r="V36" s="437"/>
      <c r="W36" s="437"/>
      <c r="X36" s="425">
        <f>SUM(X37:X39)</f>
        <v>17400</v>
      </c>
      <c r="Y36" s="425">
        <f>SUM(Y37:Y39)</f>
        <v>17400</v>
      </c>
      <c r="Z36" s="420"/>
      <c r="AB36" s="7"/>
    </row>
    <row r="37" spans="1:32" ht="29.25" customHeight="1" x14ac:dyDescent="0.25">
      <c r="A37" s="450">
        <v>1</v>
      </c>
      <c r="B37" s="451" t="s">
        <v>624</v>
      </c>
      <c r="C37" s="429" t="s">
        <v>625</v>
      </c>
      <c r="D37" s="443" t="s">
        <v>610</v>
      </c>
      <c r="E37" s="430"/>
      <c r="F37" s="430" t="s">
        <v>626</v>
      </c>
      <c r="G37" s="431"/>
      <c r="H37" s="432">
        <f>I37</f>
        <v>6200</v>
      </c>
      <c r="I37" s="434">
        <v>6200</v>
      </c>
      <c r="J37" s="433"/>
      <c r="K37" s="433"/>
      <c r="L37" s="434">
        <f>+M37</f>
        <v>3061</v>
      </c>
      <c r="M37" s="434">
        <v>3061</v>
      </c>
      <c r="N37" s="418"/>
      <c r="O37" s="418"/>
      <c r="P37" s="435"/>
      <c r="Q37" s="439"/>
      <c r="R37" s="437"/>
      <c r="S37" s="437"/>
      <c r="T37" s="437"/>
      <c r="U37" s="437"/>
      <c r="V37" s="437"/>
      <c r="W37" s="437"/>
      <c r="X37" s="452">
        <f>Y37</f>
        <v>3200</v>
      </c>
      <c r="Y37" s="452">
        <v>3200</v>
      </c>
      <c r="Z37" s="447"/>
      <c r="AB37" s="7"/>
    </row>
    <row r="38" spans="1:32" ht="30" customHeight="1" x14ac:dyDescent="0.25">
      <c r="A38" s="450">
        <v>2</v>
      </c>
      <c r="B38" s="451" t="s">
        <v>644</v>
      </c>
      <c r="C38" s="429" t="s">
        <v>609</v>
      </c>
      <c r="D38" s="443" t="s">
        <v>610</v>
      </c>
      <c r="E38" s="430"/>
      <c r="F38" s="430" t="s">
        <v>626</v>
      </c>
      <c r="G38" s="431"/>
      <c r="H38" s="432">
        <v>8500</v>
      </c>
      <c r="I38" s="434">
        <v>8500</v>
      </c>
      <c r="J38" s="433"/>
      <c r="K38" s="433"/>
      <c r="L38" s="434">
        <f>+M38</f>
        <v>8500</v>
      </c>
      <c r="M38" s="434">
        <v>8500</v>
      </c>
      <c r="N38" s="418"/>
      <c r="O38" s="418"/>
      <c r="P38" s="435"/>
      <c r="Q38" s="439"/>
      <c r="R38" s="437"/>
      <c r="S38" s="437"/>
      <c r="T38" s="437"/>
      <c r="U38" s="437"/>
      <c r="V38" s="437"/>
      <c r="W38" s="437"/>
      <c r="X38" s="452">
        <f>Y38</f>
        <v>8500</v>
      </c>
      <c r="Y38" s="452">
        <v>8500</v>
      </c>
      <c r="Z38" s="447"/>
      <c r="AB38" s="7"/>
    </row>
    <row r="39" spans="1:32" ht="30" customHeight="1" x14ac:dyDescent="0.25">
      <c r="A39" s="450">
        <v>3</v>
      </c>
      <c r="B39" s="522" t="s">
        <v>670</v>
      </c>
      <c r="C39" s="429" t="s">
        <v>609</v>
      </c>
      <c r="D39" s="443" t="s">
        <v>610</v>
      </c>
      <c r="E39" s="430"/>
      <c r="F39" s="430" t="s">
        <v>626</v>
      </c>
      <c r="G39" s="431"/>
      <c r="H39" s="432">
        <v>8500</v>
      </c>
      <c r="I39" s="434">
        <v>8500</v>
      </c>
      <c r="J39" s="433"/>
      <c r="K39" s="433"/>
      <c r="L39" s="434">
        <f>+M39</f>
        <v>8500</v>
      </c>
      <c r="M39" s="434">
        <v>8500</v>
      </c>
      <c r="N39" s="418"/>
      <c r="O39" s="418"/>
      <c r="P39" s="435"/>
      <c r="Q39" s="439"/>
      <c r="R39" s="437"/>
      <c r="S39" s="437"/>
      <c r="T39" s="437"/>
      <c r="U39" s="437"/>
      <c r="V39" s="437"/>
      <c r="W39" s="437"/>
      <c r="X39" s="452">
        <f>Y39</f>
        <v>5700</v>
      </c>
      <c r="Y39" s="452">
        <v>5700</v>
      </c>
      <c r="Z39" s="447"/>
      <c r="AB39" s="7"/>
    </row>
    <row r="40" spans="1:32" s="11" customFormat="1" ht="53.25" customHeight="1" x14ac:dyDescent="0.25">
      <c r="A40" s="413" t="s">
        <v>622</v>
      </c>
      <c r="B40" s="424" t="s">
        <v>645</v>
      </c>
      <c r="C40" s="415"/>
      <c r="D40" s="415"/>
      <c r="E40" s="415"/>
      <c r="F40" s="415"/>
      <c r="G40" s="415">
        <f>SUM(G41:G50)</f>
        <v>0</v>
      </c>
      <c r="H40" s="457">
        <f>SUM(H41:H50)</f>
        <v>35200</v>
      </c>
      <c r="I40" s="457">
        <f t="shared" ref="I40:Y40" si="31">SUM(I41:I50)</f>
        <v>34360</v>
      </c>
      <c r="J40" s="457">
        <f t="shared" si="31"/>
        <v>0</v>
      </c>
      <c r="K40" s="457">
        <f t="shared" si="31"/>
        <v>0</v>
      </c>
      <c r="L40" s="457">
        <f t="shared" si="31"/>
        <v>35200</v>
      </c>
      <c r="M40" s="458">
        <f t="shared" si="31"/>
        <v>35300</v>
      </c>
      <c r="N40" s="458">
        <f t="shared" si="31"/>
        <v>0</v>
      </c>
      <c r="O40" s="458"/>
      <c r="P40" s="459">
        <f t="shared" si="31"/>
        <v>3500</v>
      </c>
      <c r="Q40" s="459">
        <f t="shared" si="31"/>
        <v>3500</v>
      </c>
      <c r="R40" s="459">
        <f t="shared" si="31"/>
        <v>3500</v>
      </c>
      <c r="S40" s="459">
        <f t="shared" si="31"/>
        <v>3500</v>
      </c>
      <c r="T40" s="425">
        <f t="shared" ref="T40:T51" si="32">+U40</f>
        <v>34360</v>
      </c>
      <c r="U40" s="425">
        <f t="shared" ref="U40:U51" si="33">O40+I40</f>
        <v>34360</v>
      </c>
      <c r="V40" s="425">
        <f t="shared" si="30"/>
        <v>3500</v>
      </c>
      <c r="W40" s="425">
        <f t="shared" ref="W40:W51" si="34">Q40+K40</f>
        <v>3500</v>
      </c>
      <c r="X40" s="458">
        <f t="shared" si="31"/>
        <v>8640</v>
      </c>
      <c r="Y40" s="458">
        <f t="shared" si="31"/>
        <v>8640</v>
      </c>
      <c r="Z40" s="423"/>
      <c r="AA40" s="10"/>
    </row>
    <row r="41" spans="1:32" ht="21.75" customHeight="1" x14ac:dyDescent="0.25">
      <c r="A41" s="450" t="s">
        <v>324</v>
      </c>
      <c r="B41" s="451" t="s">
        <v>287</v>
      </c>
      <c r="C41" s="430" t="s">
        <v>287</v>
      </c>
      <c r="D41" s="430" t="s">
        <v>287</v>
      </c>
      <c r="E41" s="430"/>
      <c r="F41" s="430"/>
      <c r="G41" s="430"/>
      <c r="H41" s="454">
        <v>23000</v>
      </c>
      <c r="I41" s="434">
        <v>23400</v>
      </c>
      <c r="J41" s="434"/>
      <c r="K41" s="434"/>
      <c r="L41" s="434">
        <v>23000</v>
      </c>
      <c r="M41" s="434">
        <v>23000</v>
      </c>
      <c r="N41" s="434"/>
      <c r="O41" s="434"/>
      <c r="P41" s="438">
        <f t="shared" ref="P41:P51" si="35">+Q41</f>
        <v>3330</v>
      </c>
      <c r="Q41" s="439">
        <v>3330</v>
      </c>
      <c r="R41" s="437">
        <f>+S41</f>
        <v>3330</v>
      </c>
      <c r="S41" s="437">
        <f>+Q41</f>
        <v>3330</v>
      </c>
      <c r="T41" s="437">
        <f t="shared" si="32"/>
        <v>23400</v>
      </c>
      <c r="U41" s="437">
        <f t="shared" si="33"/>
        <v>23400</v>
      </c>
      <c r="V41" s="437">
        <f t="shared" si="30"/>
        <v>3330</v>
      </c>
      <c r="W41" s="437">
        <f t="shared" si="34"/>
        <v>3330</v>
      </c>
      <c r="X41" s="437">
        <f t="shared" si="28"/>
        <v>3500</v>
      </c>
      <c r="Y41" s="437">
        <v>3500</v>
      </c>
      <c r="Z41" s="420"/>
      <c r="AD41" s="9"/>
      <c r="AF41" s="9"/>
    </row>
    <row r="42" spans="1:32" ht="21.75" customHeight="1" x14ac:dyDescent="0.25">
      <c r="A42" s="450" t="s">
        <v>326</v>
      </c>
      <c r="B42" s="451" t="s">
        <v>168</v>
      </c>
      <c r="C42" s="430" t="s">
        <v>168</v>
      </c>
      <c r="D42" s="430" t="s">
        <v>168</v>
      </c>
      <c r="E42" s="430"/>
      <c r="F42" s="430"/>
      <c r="G42" s="430"/>
      <c r="H42" s="454">
        <v>150</v>
      </c>
      <c r="I42" s="434">
        <v>50</v>
      </c>
      <c r="J42" s="434"/>
      <c r="K42" s="434"/>
      <c r="L42" s="434">
        <v>150</v>
      </c>
      <c r="M42" s="434">
        <v>150</v>
      </c>
      <c r="N42" s="434"/>
      <c r="O42" s="434"/>
      <c r="P42" s="438">
        <f t="shared" si="35"/>
        <v>20</v>
      </c>
      <c r="Q42" s="439">
        <v>20</v>
      </c>
      <c r="R42" s="437">
        <f t="shared" ref="R42:R51" si="36">+S42</f>
        <v>20</v>
      </c>
      <c r="S42" s="437">
        <f>+Q42</f>
        <v>20</v>
      </c>
      <c r="T42" s="437">
        <f t="shared" si="32"/>
        <v>50</v>
      </c>
      <c r="U42" s="437">
        <f t="shared" si="33"/>
        <v>50</v>
      </c>
      <c r="V42" s="437">
        <f t="shared" si="30"/>
        <v>20</v>
      </c>
      <c r="W42" s="437">
        <f t="shared" si="34"/>
        <v>20</v>
      </c>
      <c r="X42" s="437">
        <f t="shared" si="28"/>
        <v>10</v>
      </c>
      <c r="Y42" s="437">
        <v>10</v>
      </c>
      <c r="Z42" s="420"/>
    </row>
    <row r="43" spans="1:32" ht="21.75" customHeight="1" x14ac:dyDescent="0.25">
      <c r="A43" s="450" t="s">
        <v>327</v>
      </c>
      <c r="B43" s="451" t="s">
        <v>171</v>
      </c>
      <c r="C43" s="430" t="s">
        <v>171</v>
      </c>
      <c r="D43" s="430" t="s">
        <v>171</v>
      </c>
      <c r="E43" s="430"/>
      <c r="F43" s="430"/>
      <c r="G43" s="430"/>
      <c r="H43" s="454">
        <v>150</v>
      </c>
      <c r="I43" s="434">
        <v>100</v>
      </c>
      <c r="J43" s="434"/>
      <c r="K43" s="434"/>
      <c r="L43" s="434">
        <v>150</v>
      </c>
      <c r="M43" s="434">
        <v>200</v>
      </c>
      <c r="N43" s="434"/>
      <c r="O43" s="434"/>
      <c r="P43" s="438">
        <f t="shared" si="35"/>
        <v>20</v>
      </c>
      <c r="Q43" s="439">
        <v>20</v>
      </c>
      <c r="R43" s="437">
        <f t="shared" si="36"/>
        <v>20</v>
      </c>
      <c r="S43" s="437">
        <f t="shared" ref="S43:S50" si="37">+Q43</f>
        <v>20</v>
      </c>
      <c r="T43" s="437">
        <f t="shared" si="32"/>
        <v>100</v>
      </c>
      <c r="U43" s="437">
        <f t="shared" si="33"/>
        <v>100</v>
      </c>
      <c r="V43" s="437">
        <f t="shared" si="30"/>
        <v>20</v>
      </c>
      <c r="W43" s="437">
        <f t="shared" si="34"/>
        <v>20</v>
      </c>
      <c r="X43" s="437">
        <f t="shared" si="28"/>
        <v>20</v>
      </c>
      <c r="Y43" s="437">
        <v>20</v>
      </c>
      <c r="Z43" s="420"/>
    </row>
    <row r="44" spans="1:32" ht="21.75" customHeight="1" x14ac:dyDescent="0.25">
      <c r="A44" s="450" t="s">
        <v>329</v>
      </c>
      <c r="B44" s="451" t="s">
        <v>169</v>
      </c>
      <c r="C44" s="430" t="s">
        <v>169</v>
      </c>
      <c r="D44" s="430" t="s">
        <v>169</v>
      </c>
      <c r="E44" s="430"/>
      <c r="F44" s="430"/>
      <c r="G44" s="430"/>
      <c r="H44" s="454">
        <v>150</v>
      </c>
      <c r="I44" s="434">
        <v>50</v>
      </c>
      <c r="J44" s="434"/>
      <c r="K44" s="434"/>
      <c r="L44" s="434">
        <v>150</v>
      </c>
      <c r="M44" s="434">
        <v>150</v>
      </c>
      <c r="N44" s="434"/>
      <c r="O44" s="434"/>
      <c r="P44" s="438">
        <f t="shared" si="35"/>
        <v>20</v>
      </c>
      <c r="Q44" s="439">
        <v>20</v>
      </c>
      <c r="R44" s="437">
        <f t="shared" si="36"/>
        <v>20</v>
      </c>
      <c r="S44" s="437">
        <f t="shared" si="37"/>
        <v>20</v>
      </c>
      <c r="T44" s="437">
        <f t="shared" si="32"/>
        <v>50</v>
      </c>
      <c r="U44" s="437">
        <f t="shared" si="33"/>
        <v>50</v>
      </c>
      <c r="V44" s="437">
        <f t="shared" si="30"/>
        <v>20</v>
      </c>
      <c r="W44" s="437">
        <f t="shared" si="34"/>
        <v>20</v>
      </c>
      <c r="X44" s="437">
        <f t="shared" si="28"/>
        <v>10</v>
      </c>
      <c r="Y44" s="437">
        <v>10</v>
      </c>
      <c r="Z44" s="420"/>
    </row>
    <row r="45" spans="1:32" ht="21.75" customHeight="1" x14ac:dyDescent="0.25">
      <c r="A45" s="450" t="s">
        <v>331</v>
      </c>
      <c r="B45" s="451" t="s">
        <v>170</v>
      </c>
      <c r="C45" s="430" t="s">
        <v>170</v>
      </c>
      <c r="D45" s="430" t="s">
        <v>170</v>
      </c>
      <c r="E45" s="430"/>
      <c r="F45" s="430"/>
      <c r="G45" s="430"/>
      <c r="H45" s="454">
        <v>150</v>
      </c>
      <c r="I45" s="434">
        <v>50</v>
      </c>
      <c r="J45" s="434"/>
      <c r="K45" s="434"/>
      <c r="L45" s="434">
        <v>150</v>
      </c>
      <c r="M45" s="434">
        <v>200</v>
      </c>
      <c r="N45" s="434"/>
      <c r="O45" s="434"/>
      <c r="P45" s="438">
        <f t="shared" si="35"/>
        <v>20</v>
      </c>
      <c r="Q45" s="439">
        <v>20</v>
      </c>
      <c r="R45" s="437">
        <f t="shared" si="36"/>
        <v>20</v>
      </c>
      <c r="S45" s="437">
        <f t="shared" si="37"/>
        <v>20</v>
      </c>
      <c r="T45" s="437">
        <f t="shared" si="32"/>
        <v>50</v>
      </c>
      <c r="U45" s="437">
        <f t="shared" si="33"/>
        <v>50</v>
      </c>
      <c r="V45" s="437">
        <f t="shared" si="30"/>
        <v>20</v>
      </c>
      <c r="W45" s="437">
        <f t="shared" si="34"/>
        <v>20</v>
      </c>
      <c r="X45" s="437">
        <f t="shared" si="28"/>
        <v>10</v>
      </c>
      <c r="Y45" s="437">
        <v>10</v>
      </c>
      <c r="Z45" s="420"/>
    </row>
    <row r="46" spans="1:32" ht="21.75" customHeight="1" x14ac:dyDescent="0.25">
      <c r="A46" s="450" t="s">
        <v>332</v>
      </c>
      <c r="B46" s="451" t="s">
        <v>172</v>
      </c>
      <c r="C46" s="430" t="s">
        <v>172</v>
      </c>
      <c r="D46" s="430" t="s">
        <v>172</v>
      </c>
      <c r="E46" s="430"/>
      <c r="F46" s="430"/>
      <c r="G46" s="430"/>
      <c r="H46" s="454">
        <v>150</v>
      </c>
      <c r="I46" s="434">
        <v>85</v>
      </c>
      <c r="J46" s="434"/>
      <c r="K46" s="434"/>
      <c r="L46" s="434">
        <v>150</v>
      </c>
      <c r="M46" s="434">
        <v>150</v>
      </c>
      <c r="N46" s="434"/>
      <c r="O46" s="434"/>
      <c r="P46" s="438">
        <f t="shared" si="35"/>
        <v>10</v>
      </c>
      <c r="Q46" s="439">
        <v>10</v>
      </c>
      <c r="R46" s="437">
        <f t="shared" si="36"/>
        <v>10</v>
      </c>
      <c r="S46" s="437">
        <f t="shared" si="37"/>
        <v>10</v>
      </c>
      <c r="T46" s="437">
        <f t="shared" si="32"/>
        <v>85</v>
      </c>
      <c r="U46" s="437">
        <f t="shared" si="33"/>
        <v>85</v>
      </c>
      <c r="V46" s="437">
        <f t="shared" si="30"/>
        <v>10</v>
      </c>
      <c r="W46" s="437">
        <f t="shared" si="34"/>
        <v>10</v>
      </c>
      <c r="X46" s="437">
        <f t="shared" si="28"/>
        <v>65</v>
      </c>
      <c r="Y46" s="437">
        <v>65</v>
      </c>
      <c r="Z46" s="420"/>
    </row>
    <row r="47" spans="1:32" ht="21.75" customHeight="1" x14ac:dyDescent="0.25">
      <c r="A47" s="450" t="s">
        <v>333</v>
      </c>
      <c r="B47" s="451" t="s">
        <v>646</v>
      </c>
      <c r="C47" s="430" t="s">
        <v>646</v>
      </c>
      <c r="D47" s="430" t="s">
        <v>646</v>
      </c>
      <c r="E47" s="430"/>
      <c r="F47" s="430"/>
      <c r="G47" s="430"/>
      <c r="H47" s="454">
        <v>150</v>
      </c>
      <c r="I47" s="434">
        <v>50</v>
      </c>
      <c r="J47" s="434"/>
      <c r="K47" s="434"/>
      <c r="L47" s="434">
        <v>150</v>
      </c>
      <c r="M47" s="434">
        <v>150</v>
      </c>
      <c r="N47" s="434"/>
      <c r="O47" s="434"/>
      <c r="P47" s="438">
        <f t="shared" si="35"/>
        <v>20</v>
      </c>
      <c r="Q47" s="439">
        <v>20</v>
      </c>
      <c r="R47" s="437">
        <f t="shared" si="36"/>
        <v>20</v>
      </c>
      <c r="S47" s="437">
        <f t="shared" si="37"/>
        <v>20</v>
      </c>
      <c r="T47" s="437">
        <f t="shared" si="32"/>
        <v>50</v>
      </c>
      <c r="U47" s="437">
        <f t="shared" si="33"/>
        <v>50</v>
      </c>
      <c r="V47" s="437">
        <f t="shared" si="30"/>
        <v>20</v>
      </c>
      <c r="W47" s="437">
        <f t="shared" si="34"/>
        <v>20</v>
      </c>
      <c r="X47" s="437">
        <f t="shared" si="28"/>
        <v>10</v>
      </c>
      <c r="Y47" s="437">
        <v>10</v>
      </c>
      <c r="Z47" s="420"/>
    </row>
    <row r="48" spans="1:32" ht="21.75" customHeight="1" x14ac:dyDescent="0.25">
      <c r="A48" s="450" t="s">
        <v>334</v>
      </c>
      <c r="B48" s="451" t="s">
        <v>175</v>
      </c>
      <c r="C48" s="430" t="s">
        <v>175</v>
      </c>
      <c r="D48" s="430" t="s">
        <v>175</v>
      </c>
      <c r="E48" s="430"/>
      <c r="F48" s="430"/>
      <c r="G48" s="430"/>
      <c r="H48" s="454">
        <v>150</v>
      </c>
      <c r="I48" s="434">
        <v>25</v>
      </c>
      <c r="J48" s="434"/>
      <c r="K48" s="434"/>
      <c r="L48" s="434">
        <v>150</v>
      </c>
      <c r="M48" s="434">
        <v>150</v>
      </c>
      <c r="N48" s="434"/>
      <c r="O48" s="434"/>
      <c r="P48" s="438">
        <f t="shared" si="35"/>
        <v>20</v>
      </c>
      <c r="Q48" s="439">
        <v>20</v>
      </c>
      <c r="R48" s="437">
        <f t="shared" si="36"/>
        <v>20</v>
      </c>
      <c r="S48" s="437">
        <f t="shared" si="37"/>
        <v>20</v>
      </c>
      <c r="T48" s="437">
        <f t="shared" si="32"/>
        <v>25</v>
      </c>
      <c r="U48" s="437">
        <f t="shared" si="33"/>
        <v>25</v>
      </c>
      <c r="V48" s="437">
        <f t="shared" si="30"/>
        <v>20</v>
      </c>
      <c r="W48" s="437">
        <f t="shared" si="34"/>
        <v>20</v>
      </c>
      <c r="X48" s="437">
        <f t="shared" si="28"/>
        <v>5</v>
      </c>
      <c r="Y48" s="437">
        <v>5</v>
      </c>
      <c r="Z48" s="420"/>
    </row>
    <row r="49" spans="1:27" ht="21.75" customHeight="1" x14ac:dyDescent="0.25">
      <c r="A49" s="450" t="s">
        <v>335</v>
      </c>
      <c r="B49" s="451" t="s">
        <v>176</v>
      </c>
      <c r="C49" s="430" t="s">
        <v>176</v>
      </c>
      <c r="D49" s="430" t="s">
        <v>176</v>
      </c>
      <c r="E49" s="430"/>
      <c r="F49" s="430"/>
      <c r="G49" s="430"/>
      <c r="H49" s="454">
        <v>11000</v>
      </c>
      <c r="I49" s="434">
        <v>10500</v>
      </c>
      <c r="J49" s="434"/>
      <c r="K49" s="434"/>
      <c r="L49" s="434">
        <v>11000</v>
      </c>
      <c r="M49" s="434">
        <v>11000</v>
      </c>
      <c r="N49" s="434"/>
      <c r="O49" s="434"/>
      <c r="P49" s="438">
        <f t="shared" si="35"/>
        <v>20</v>
      </c>
      <c r="Q49" s="439">
        <v>20</v>
      </c>
      <c r="R49" s="437">
        <f t="shared" si="36"/>
        <v>20</v>
      </c>
      <c r="S49" s="437">
        <f t="shared" si="37"/>
        <v>20</v>
      </c>
      <c r="T49" s="437">
        <f t="shared" si="32"/>
        <v>10500</v>
      </c>
      <c r="U49" s="437">
        <f t="shared" si="33"/>
        <v>10500</v>
      </c>
      <c r="V49" s="437">
        <f t="shared" si="30"/>
        <v>20</v>
      </c>
      <c r="W49" s="437">
        <f t="shared" si="34"/>
        <v>20</v>
      </c>
      <c r="X49" s="437">
        <f t="shared" si="28"/>
        <v>5000</v>
      </c>
      <c r="Y49" s="437">
        <v>5000</v>
      </c>
      <c r="Z49" s="420"/>
    </row>
    <row r="50" spans="1:27" ht="28.5" customHeight="1" x14ac:dyDescent="0.25">
      <c r="A50" s="450" t="s">
        <v>336</v>
      </c>
      <c r="B50" s="451" t="s">
        <v>177</v>
      </c>
      <c r="C50" s="430" t="s">
        <v>177</v>
      </c>
      <c r="D50" s="430" t="s">
        <v>177</v>
      </c>
      <c r="E50" s="430"/>
      <c r="F50" s="430"/>
      <c r="G50" s="430"/>
      <c r="H50" s="454">
        <v>150</v>
      </c>
      <c r="I50" s="434">
        <v>50</v>
      </c>
      <c r="J50" s="434"/>
      <c r="K50" s="434"/>
      <c r="L50" s="434">
        <v>150</v>
      </c>
      <c r="M50" s="434">
        <v>150</v>
      </c>
      <c r="N50" s="434"/>
      <c r="O50" s="434"/>
      <c r="P50" s="438">
        <f t="shared" si="35"/>
        <v>20</v>
      </c>
      <c r="Q50" s="439">
        <v>20</v>
      </c>
      <c r="R50" s="437">
        <f t="shared" si="36"/>
        <v>20</v>
      </c>
      <c r="S50" s="437">
        <f t="shared" si="37"/>
        <v>20</v>
      </c>
      <c r="T50" s="437">
        <f t="shared" si="32"/>
        <v>50</v>
      </c>
      <c r="U50" s="437">
        <f t="shared" si="33"/>
        <v>50</v>
      </c>
      <c r="V50" s="437">
        <f t="shared" si="30"/>
        <v>20</v>
      </c>
      <c r="W50" s="437">
        <f t="shared" si="34"/>
        <v>20</v>
      </c>
      <c r="X50" s="437">
        <f t="shared" si="28"/>
        <v>10</v>
      </c>
      <c r="Y50" s="437">
        <v>10</v>
      </c>
      <c r="Z50" s="420"/>
    </row>
    <row r="51" spans="1:27" s="11" customFormat="1" ht="21.75" customHeight="1" x14ac:dyDescent="0.25">
      <c r="A51" s="413" t="s">
        <v>647</v>
      </c>
      <c r="B51" s="424" t="s">
        <v>430</v>
      </c>
      <c r="C51" s="415" t="s">
        <v>648</v>
      </c>
      <c r="D51" s="415"/>
      <c r="E51" s="415"/>
      <c r="F51" s="415"/>
      <c r="G51" s="415"/>
      <c r="H51" s="457">
        <f>+I51</f>
        <v>16000</v>
      </c>
      <c r="I51" s="418">
        <v>16000</v>
      </c>
      <c r="J51" s="418"/>
      <c r="K51" s="418"/>
      <c r="L51" s="418">
        <v>5000</v>
      </c>
      <c r="M51" s="418">
        <v>5000</v>
      </c>
      <c r="N51" s="418"/>
      <c r="O51" s="418"/>
      <c r="P51" s="460">
        <f t="shared" si="35"/>
        <v>2000</v>
      </c>
      <c r="Q51" s="461">
        <v>2000</v>
      </c>
      <c r="R51" s="425">
        <f t="shared" si="36"/>
        <v>2000</v>
      </c>
      <c r="S51" s="425">
        <v>2000</v>
      </c>
      <c r="T51" s="425">
        <f t="shared" si="32"/>
        <v>16000</v>
      </c>
      <c r="U51" s="425">
        <f t="shared" si="33"/>
        <v>16000</v>
      </c>
      <c r="V51" s="425">
        <f t="shared" si="30"/>
        <v>2000</v>
      </c>
      <c r="W51" s="425">
        <f t="shared" si="34"/>
        <v>2000</v>
      </c>
      <c r="X51" s="425">
        <f>+Y51</f>
        <v>5519</v>
      </c>
      <c r="Y51" s="425">
        <v>5519</v>
      </c>
      <c r="Z51" s="423"/>
      <c r="AA51" s="10"/>
    </row>
    <row r="52" spans="1:27" ht="41.25" customHeight="1" x14ac:dyDescent="0.25">
      <c r="A52" s="413" t="s">
        <v>35</v>
      </c>
      <c r="B52" s="414" t="s">
        <v>649</v>
      </c>
      <c r="C52" s="415"/>
      <c r="D52" s="416"/>
      <c r="E52" s="415"/>
      <c r="F52" s="415"/>
      <c r="G52" s="417"/>
      <c r="H52" s="418">
        <f>+H53</f>
        <v>11000</v>
      </c>
      <c r="I52" s="418">
        <f t="shared" ref="I52:Y52" si="38">+I53</f>
        <v>11000</v>
      </c>
      <c r="J52" s="418">
        <f t="shared" si="38"/>
        <v>0</v>
      </c>
      <c r="K52" s="418">
        <f t="shared" si="38"/>
        <v>0</v>
      </c>
      <c r="L52" s="418">
        <f t="shared" si="38"/>
        <v>868</v>
      </c>
      <c r="M52" s="418">
        <f t="shared" si="38"/>
        <v>868</v>
      </c>
      <c r="N52" s="418">
        <f t="shared" si="38"/>
        <v>0</v>
      </c>
      <c r="O52" s="418">
        <f t="shared" si="38"/>
        <v>0</v>
      </c>
      <c r="P52" s="419"/>
      <c r="Q52" s="419"/>
      <c r="R52" s="418"/>
      <c r="S52" s="418"/>
      <c r="T52" s="419"/>
      <c r="U52" s="419"/>
      <c r="V52" s="419"/>
      <c r="W52" s="419"/>
      <c r="X52" s="418">
        <f t="shared" si="38"/>
        <v>770</v>
      </c>
      <c r="Y52" s="418">
        <f t="shared" si="38"/>
        <v>770</v>
      </c>
      <c r="Z52" s="420"/>
    </row>
    <row r="53" spans="1:27" x14ac:dyDescent="0.25">
      <c r="A53" s="413" t="s">
        <v>606</v>
      </c>
      <c r="B53" s="424" t="s">
        <v>643</v>
      </c>
      <c r="C53" s="415"/>
      <c r="D53" s="415"/>
      <c r="E53" s="415"/>
      <c r="F53" s="415"/>
      <c r="G53" s="422"/>
      <c r="H53" s="462">
        <f t="shared" ref="H53:O53" si="39">SUM(H54,H55)</f>
        <v>11000</v>
      </c>
      <c r="I53" s="462">
        <f t="shared" si="39"/>
        <v>11000</v>
      </c>
      <c r="J53" s="462">
        <f t="shared" si="39"/>
        <v>0</v>
      </c>
      <c r="K53" s="462">
        <f t="shared" si="39"/>
        <v>0</v>
      </c>
      <c r="L53" s="462">
        <f t="shared" si="39"/>
        <v>868</v>
      </c>
      <c r="M53" s="462">
        <f t="shared" si="39"/>
        <v>868</v>
      </c>
      <c r="N53" s="462">
        <f t="shared" si="39"/>
        <v>0</v>
      </c>
      <c r="O53" s="462">
        <f t="shared" si="39"/>
        <v>0</v>
      </c>
      <c r="P53" s="462"/>
      <c r="Q53" s="462"/>
      <c r="R53" s="462"/>
      <c r="S53" s="462"/>
      <c r="T53" s="462"/>
      <c r="U53" s="462"/>
      <c r="V53" s="462"/>
      <c r="W53" s="462"/>
      <c r="X53" s="462">
        <f>SUM(X54,X55)</f>
        <v>770</v>
      </c>
      <c r="Y53" s="462">
        <f>SUM(Y54,Y55)</f>
        <v>770</v>
      </c>
      <c r="Z53" s="423"/>
    </row>
    <row r="54" spans="1:27" ht="31.5" customHeight="1" x14ac:dyDescent="0.25">
      <c r="A54" s="450" t="s">
        <v>324</v>
      </c>
      <c r="B54" s="453" t="s">
        <v>628</v>
      </c>
      <c r="C54" s="430" t="s">
        <v>609</v>
      </c>
      <c r="D54" s="430" t="s">
        <v>169</v>
      </c>
      <c r="E54" s="430"/>
      <c r="F54" s="430">
        <v>2022</v>
      </c>
      <c r="G54" s="430"/>
      <c r="H54" s="454">
        <f>+I54</f>
        <v>1000</v>
      </c>
      <c r="I54" s="434">
        <v>1000</v>
      </c>
      <c r="J54" s="434"/>
      <c r="K54" s="434"/>
      <c r="L54" s="454">
        <f>+M54</f>
        <v>248</v>
      </c>
      <c r="M54" s="434">
        <v>248</v>
      </c>
      <c r="N54" s="418"/>
      <c r="O54" s="418"/>
      <c r="P54" s="435"/>
      <c r="Q54" s="436"/>
      <c r="R54" s="425"/>
      <c r="S54" s="425"/>
      <c r="T54" s="437"/>
      <c r="U54" s="437"/>
      <c r="V54" s="437"/>
      <c r="W54" s="437"/>
      <c r="X54" s="437">
        <f>+Y54</f>
        <v>248</v>
      </c>
      <c r="Y54" s="437">
        <v>248</v>
      </c>
      <c r="Z54" s="420"/>
    </row>
    <row r="55" spans="1:27" ht="24" x14ac:dyDescent="0.25">
      <c r="A55" s="450" t="s">
        <v>326</v>
      </c>
      <c r="B55" s="453" t="s">
        <v>629</v>
      </c>
      <c r="C55" s="430" t="s">
        <v>609</v>
      </c>
      <c r="D55" s="430" t="s">
        <v>177</v>
      </c>
      <c r="E55" s="430"/>
      <c r="F55" s="430" t="s">
        <v>626</v>
      </c>
      <c r="G55" s="430"/>
      <c r="H55" s="454">
        <f>+I55</f>
        <v>10000</v>
      </c>
      <c r="I55" s="434">
        <v>10000</v>
      </c>
      <c r="J55" s="434"/>
      <c r="K55" s="434"/>
      <c r="L55" s="454">
        <f>+M55</f>
        <v>620</v>
      </c>
      <c r="M55" s="434">
        <v>620</v>
      </c>
      <c r="N55" s="418"/>
      <c r="O55" s="418"/>
      <c r="P55" s="435"/>
      <c r="Q55" s="436"/>
      <c r="R55" s="425"/>
      <c r="S55" s="425"/>
      <c r="T55" s="437"/>
      <c r="U55" s="437"/>
      <c r="V55" s="437"/>
      <c r="W55" s="437"/>
      <c r="X55" s="437">
        <f>+Y55</f>
        <v>522</v>
      </c>
      <c r="Y55" s="437">
        <f>770-248</f>
        <v>522</v>
      </c>
      <c r="Z55" s="420"/>
    </row>
    <row r="56" spans="1:27" ht="23.25" customHeight="1" x14ac:dyDescent="0.25">
      <c r="A56" s="413" t="s">
        <v>615</v>
      </c>
      <c r="B56" s="424" t="s">
        <v>650</v>
      </c>
      <c r="C56" s="415"/>
      <c r="D56" s="415"/>
      <c r="E56" s="415"/>
      <c r="F56" s="415"/>
      <c r="G56" s="422"/>
      <c r="H56" s="462"/>
      <c r="I56" s="418"/>
      <c r="J56" s="418"/>
      <c r="K56" s="418"/>
      <c r="L56" s="435"/>
      <c r="M56" s="435"/>
      <c r="N56" s="418"/>
      <c r="O56" s="418"/>
      <c r="P56" s="435"/>
      <c r="Q56" s="436"/>
      <c r="R56" s="436"/>
      <c r="S56" s="436"/>
      <c r="T56" s="437"/>
      <c r="U56" s="437"/>
      <c r="V56" s="437"/>
      <c r="W56" s="437"/>
      <c r="X56" s="437"/>
      <c r="Y56" s="436"/>
      <c r="Z56" s="423"/>
    </row>
    <row r="57" spans="1:27" ht="15" customHeight="1" x14ac:dyDescent="0.25"/>
    <row r="58" spans="1:27" ht="29.25" hidden="1" customHeight="1" x14ac:dyDescent="0.25">
      <c r="B58" s="667" t="s">
        <v>651</v>
      </c>
      <c r="C58" s="667"/>
      <c r="D58" s="668"/>
      <c r="E58" s="668"/>
      <c r="F58" s="668"/>
      <c r="G58" s="668"/>
      <c r="H58" s="668"/>
      <c r="I58" s="668"/>
      <c r="J58" s="668"/>
      <c r="K58" s="668"/>
      <c r="L58" s="668"/>
      <c r="M58" s="668"/>
      <c r="N58" s="668"/>
      <c r="O58" s="668"/>
      <c r="P58" s="668"/>
      <c r="Q58" s="668"/>
      <c r="R58" s="668"/>
      <c r="S58" s="668"/>
      <c r="T58" s="668"/>
      <c r="U58" s="668"/>
      <c r="V58" s="668"/>
      <c r="W58" s="668"/>
      <c r="X58" s="668"/>
      <c r="Y58" s="668"/>
    </row>
    <row r="59" spans="1:27" ht="45" hidden="1" customHeight="1" x14ac:dyDescent="0.25">
      <c r="B59" s="667" t="s">
        <v>652</v>
      </c>
      <c r="C59" s="667"/>
      <c r="D59" s="668"/>
      <c r="E59" s="668"/>
      <c r="F59" s="668"/>
      <c r="G59" s="668"/>
      <c r="H59" s="668"/>
      <c r="I59" s="668"/>
      <c r="J59" s="668"/>
      <c r="K59" s="668"/>
      <c r="L59" s="668"/>
      <c r="M59" s="668"/>
      <c r="N59" s="668"/>
      <c r="O59" s="668"/>
      <c r="P59" s="668"/>
      <c r="Q59" s="668"/>
      <c r="R59" s="668"/>
      <c r="S59" s="668"/>
      <c r="T59" s="668"/>
      <c r="U59" s="668"/>
      <c r="V59" s="668"/>
      <c r="W59" s="668"/>
      <c r="X59" s="668"/>
      <c r="Y59" s="668"/>
    </row>
    <row r="60" spans="1:27" ht="34.5" hidden="1" customHeight="1" x14ac:dyDescent="0.25">
      <c r="B60" s="667" t="s">
        <v>653</v>
      </c>
      <c r="C60" s="667"/>
      <c r="D60" s="668"/>
      <c r="E60" s="668"/>
      <c r="F60" s="668"/>
      <c r="G60" s="668"/>
      <c r="H60" s="668"/>
      <c r="I60" s="668"/>
      <c r="J60" s="668"/>
      <c r="K60" s="668"/>
      <c r="L60" s="668"/>
      <c r="M60" s="668"/>
      <c r="N60" s="668"/>
      <c r="O60" s="668"/>
      <c r="P60" s="668"/>
      <c r="Q60" s="668"/>
      <c r="R60" s="668"/>
      <c r="S60" s="668"/>
      <c r="T60" s="668"/>
      <c r="U60" s="668"/>
      <c r="V60" s="668"/>
      <c r="W60" s="668"/>
      <c r="X60" s="668"/>
      <c r="Y60" s="668"/>
    </row>
    <row r="61" spans="1:27" ht="33.75" hidden="1" customHeight="1" x14ac:dyDescent="0.25">
      <c r="B61" s="667" t="s">
        <v>654</v>
      </c>
      <c r="C61" s="667"/>
      <c r="D61" s="668"/>
      <c r="E61" s="668"/>
      <c r="F61" s="668"/>
      <c r="G61" s="668"/>
      <c r="H61" s="668"/>
      <c r="I61" s="668"/>
      <c r="J61" s="668"/>
      <c r="K61" s="668"/>
      <c r="L61" s="668"/>
      <c r="M61" s="668"/>
      <c r="N61" s="668"/>
      <c r="O61" s="668"/>
      <c r="P61" s="668"/>
      <c r="Q61" s="668"/>
      <c r="R61" s="668"/>
      <c r="S61" s="668"/>
      <c r="T61" s="668"/>
      <c r="U61" s="668"/>
      <c r="V61" s="668"/>
      <c r="W61" s="668"/>
      <c r="X61" s="668"/>
      <c r="Y61" s="668"/>
    </row>
  </sheetData>
  <mergeCells count="41">
    <mergeCell ref="A1:B1"/>
    <mergeCell ref="Y1:Z1"/>
    <mergeCell ref="Y3:Z3"/>
    <mergeCell ref="B60:Y60"/>
    <mergeCell ref="B61:Y61"/>
    <mergeCell ref="W5:W6"/>
    <mergeCell ref="M6:M7"/>
    <mergeCell ref="N6:O6"/>
    <mergeCell ref="P6:P7"/>
    <mergeCell ref="Q6:Q7"/>
    <mergeCell ref="B58:Y58"/>
    <mergeCell ref="B59:Y59"/>
    <mergeCell ref="P5:Q5"/>
    <mergeCell ref="R5:S6"/>
    <mergeCell ref="V5:V7"/>
    <mergeCell ref="X5:X7"/>
    <mergeCell ref="L5:L7"/>
    <mergeCell ref="Y5:Y7"/>
    <mergeCell ref="L4:O4"/>
    <mergeCell ref="P4:S4"/>
    <mergeCell ref="V4:W4"/>
    <mergeCell ref="X4:Y4"/>
    <mergeCell ref="T4:U4"/>
    <mergeCell ref="T5:T7"/>
    <mergeCell ref="U5:U6"/>
    <mergeCell ref="A2:Z2"/>
    <mergeCell ref="A4:A7"/>
    <mergeCell ref="B4:B7"/>
    <mergeCell ref="C4:C7"/>
    <mergeCell ref="D4:D7"/>
    <mergeCell ref="E4:E7"/>
    <mergeCell ref="F4:F7"/>
    <mergeCell ref="G4:I4"/>
    <mergeCell ref="J4:K4"/>
    <mergeCell ref="J6:J7"/>
    <mergeCell ref="K6:K7"/>
    <mergeCell ref="Z4:Z7"/>
    <mergeCell ref="G5:G7"/>
    <mergeCell ref="H5:H7"/>
    <mergeCell ref="I5:I7"/>
    <mergeCell ref="M5:O5"/>
  </mergeCells>
  <printOptions horizontalCentered="1"/>
  <pageMargins left="0.31496062992125984" right="0.27559055118110237" top="0.19685039370078741" bottom="0.19685039370078741" header="0.31496062992125984" footer="0.19685039370078741"/>
  <pageSetup paperSize="9" scale="70" orientation="landscape"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I55"/>
  <sheetViews>
    <sheetView workbookViewId="0">
      <selection activeCell="D64" sqref="D64"/>
    </sheetView>
  </sheetViews>
  <sheetFormatPr defaultRowHeight="12.75" x14ac:dyDescent="0.2"/>
  <cols>
    <col min="1" max="1" width="6" style="508" customWidth="1"/>
    <col min="2" max="2" width="32" style="508" customWidth="1"/>
    <col min="3" max="5" width="11.7109375" style="508" customWidth="1"/>
    <col min="6" max="6" width="9.140625" style="508"/>
    <col min="7" max="7" width="11.85546875" style="508" customWidth="1"/>
    <col min="8" max="16384" width="9.140625" style="508"/>
  </cols>
  <sheetData>
    <row r="1" spans="1:9" s="463" customFormat="1" ht="18.75" customHeight="1" x14ac:dyDescent="0.25">
      <c r="A1" s="673" t="s">
        <v>180</v>
      </c>
      <c r="B1" s="673"/>
      <c r="C1" s="673"/>
      <c r="D1" s="673"/>
      <c r="F1" s="674" t="s">
        <v>161</v>
      </c>
      <c r="G1" s="674"/>
    </row>
    <row r="2" spans="1:9" s="464" customFormat="1" ht="18.75" customHeight="1" x14ac:dyDescent="0.2">
      <c r="A2" s="675" t="s">
        <v>422</v>
      </c>
      <c r="B2" s="675"/>
      <c r="C2" s="675"/>
      <c r="D2" s="675"/>
      <c r="E2" s="675"/>
      <c r="F2" s="675"/>
      <c r="G2" s="675"/>
    </row>
    <row r="3" spans="1:9" s="464" customFormat="1" ht="18.75" customHeight="1" x14ac:dyDescent="0.2">
      <c r="D3" s="465"/>
      <c r="E3" s="465"/>
      <c r="F3" s="465"/>
      <c r="G3" s="465" t="s">
        <v>42</v>
      </c>
    </row>
    <row r="4" spans="1:9" s="466" customFormat="1" ht="29.25" customHeight="1" x14ac:dyDescent="0.2">
      <c r="A4" s="676" t="s">
        <v>13</v>
      </c>
      <c r="B4" s="676" t="s">
        <v>14</v>
      </c>
      <c r="C4" s="676" t="s">
        <v>562</v>
      </c>
      <c r="D4" s="676" t="s">
        <v>408</v>
      </c>
      <c r="E4" s="676" t="s">
        <v>446</v>
      </c>
      <c r="F4" s="672" t="s">
        <v>44</v>
      </c>
      <c r="G4" s="672"/>
      <c r="I4" s="467"/>
    </row>
    <row r="5" spans="1:9" s="471" customFormat="1" ht="40.5" customHeight="1" x14ac:dyDescent="0.25">
      <c r="A5" s="676"/>
      <c r="B5" s="676"/>
      <c r="C5" s="676"/>
      <c r="D5" s="676"/>
      <c r="E5" s="676"/>
      <c r="F5" s="468" t="s">
        <v>358</v>
      </c>
      <c r="G5" s="469" t="s">
        <v>563</v>
      </c>
      <c r="H5" s="470"/>
    </row>
    <row r="6" spans="1:9" s="471" customFormat="1" ht="17.25" customHeight="1" x14ac:dyDescent="0.25">
      <c r="A6" s="472" t="s">
        <v>17</v>
      </c>
      <c r="B6" s="472" t="s">
        <v>18</v>
      </c>
      <c r="C6" s="472">
        <v>1</v>
      </c>
      <c r="D6" s="472">
        <v>2</v>
      </c>
      <c r="E6" s="472">
        <v>3</v>
      </c>
      <c r="F6" s="472" t="s">
        <v>5</v>
      </c>
      <c r="G6" s="473" t="s">
        <v>7</v>
      </c>
      <c r="H6" s="470"/>
      <c r="I6" s="474"/>
    </row>
    <row r="7" spans="1:9" s="478" customFormat="1" ht="18" customHeight="1" x14ac:dyDescent="0.25">
      <c r="A7" s="475"/>
      <c r="B7" s="476" t="s">
        <v>57</v>
      </c>
      <c r="C7" s="477">
        <f>+C8+C42+C46</f>
        <v>1462.76</v>
      </c>
      <c r="D7" s="477">
        <f t="shared" ref="D7:G7" si="0">+D8+D42+D46</f>
        <v>1647.3796000000002</v>
      </c>
      <c r="E7" s="477">
        <f t="shared" si="0"/>
        <v>1470.77</v>
      </c>
      <c r="F7" s="477">
        <f t="shared" si="0"/>
        <v>37.183837319137972</v>
      </c>
      <c r="G7" s="477">
        <f t="shared" si="0"/>
        <v>40.997892919328443</v>
      </c>
    </row>
    <row r="8" spans="1:9" s="482" customFormat="1" ht="28.5" customHeight="1" x14ac:dyDescent="0.25">
      <c r="A8" s="479" t="s">
        <v>19</v>
      </c>
      <c r="B8" s="480" t="s">
        <v>359</v>
      </c>
      <c r="C8" s="481">
        <f>+C9+C41</f>
        <v>553</v>
      </c>
      <c r="D8" s="481">
        <f t="shared" ref="D8:G8" si="1">+D9+D41</f>
        <v>805.38660000000004</v>
      </c>
      <c r="E8" s="481">
        <f t="shared" si="1"/>
        <v>559</v>
      </c>
      <c r="F8" s="481">
        <f t="shared" si="1"/>
        <v>33.309300148467351</v>
      </c>
      <c r="G8" s="481">
        <f t="shared" si="1"/>
        <v>36.834669821463983</v>
      </c>
    </row>
    <row r="9" spans="1:9" s="482" customFormat="1" ht="28.5" customHeight="1" x14ac:dyDescent="0.25">
      <c r="A9" s="483" t="s">
        <v>256</v>
      </c>
      <c r="B9" s="484" t="s">
        <v>360</v>
      </c>
      <c r="C9" s="485">
        <f>C10+C25</f>
        <v>493</v>
      </c>
      <c r="D9" s="485">
        <f t="shared" ref="D9:G9" si="2">D10+D25</f>
        <v>436.38660000000004</v>
      </c>
      <c r="E9" s="485">
        <f t="shared" si="2"/>
        <v>499</v>
      </c>
      <c r="F9" s="485">
        <f t="shared" si="2"/>
        <v>27.159300148467352</v>
      </c>
      <c r="G9" s="485">
        <f t="shared" si="2"/>
        <v>36.672068195447721</v>
      </c>
    </row>
    <row r="10" spans="1:9" s="482" customFormat="1" ht="24.75" customHeight="1" x14ac:dyDescent="0.25">
      <c r="A10" s="486">
        <v>1</v>
      </c>
      <c r="B10" s="487" t="s">
        <v>361</v>
      </c>
      <c r="C10" s="485">
        <f>SUM(C11:C24)</f>
        <v>258.8</v>
      </c>
      <c r="D10" s="485">
        <f t="shared" ref="D10:G10" si="3">SUM(D11:D24)</f>
        <v>244.21120000000002</v>
      </c>
      <c r="E10" s="485">
        <f t="shared" si="3"/>
        <v>272</v>
      </c>
      <c r="F10" s="485">
        <f t="shared" si="3"/>
        <v>13.325051049233252</v>
      </c>
      <c r="G10" s="485">
        <f t="shared" si="3"/>
        <v>16.50929693816844</v>
      </c>
    </row>
    <row r="11" spans="1:9" s="492" customFormat="1" ht="24.75" customHeight="1" x14ac:dyDescent="0.2">
      <c r="A11" s="488" t="s">
        <v>23</v>
      </c>
      <c r="B11" s="489" t="s">
        <v>564</v>
      </c>
      <c r="C11" s="490">
        <v>32</v>
      </c>
      <c r="D11" s="491">
        <v>19.163999999999998</v>
      </c>
      <c r="E11" s="491">
        <v>20</v>
      </c>
      <c r="F11" s="491">
        <f>D11/C11</f>
        <v>0.59887499999999994</v>
      </c>
      <c r="G11" s="491">
        <f>E11/D11</f>
        <v>1.0436234606553956</v>
      </c>
    </row>
    <row r="12" spans="1:9" s="463" customFormat="1" ht="24.75" customHeight="1" x14ac:dyDescent="0.2">
      <c r="A12" s="493" t="s">
        <v>23</v>
      </c>
      <c r="B12" s="489" t="s">
        <v>565</v>
      </c>
      <c r="C12" s="490">
        <v>32</v>
      </c>
      <c r="D12" s="491">
        <v>29.143200000000004</v>
      </c>
      <c r="E12" s="491">
        <v>30</v>
      </c>
      <c r="F12" s="491">
        <f t="shared" ref="F12:G40" si="4">D12/C12</f>
        <v>0.91072500000000012</v>
      </c>
      <c r="G12" s="491">
        <f t="shared" si="4"/>
        <v>1.0293996541217161</v>
      </c>
    </row>
    <row r="13" spans="1:9" s="463" customFormat="1" ht="24.75" customHeight="1" x14ac:dyDescent="0.2">
      <c r="A13" s="488" t="s">
        <v>23</v>
      </c>
      <c r="B13" s="489" t="s">
        <v>362</v>
      </c>
      <c r="C13" s="490">
        <v>23.6</v>
      </c>
      <c r="D13" s="491">
        <v>17.57</v>
      </c>
      <c r="E13" s="491">
        <v>20</v>
      </c>
      <c r="F13" s="491">
        <f t="shared" si="4"/>
        <v>0.74449152542372876</v>
      </c>
      <c r="G13" s="491">
        <f t="shared" si="4"/>
        <v>1.1383039271485487</v>
      </c>
    </row>
    <row r="14" spans="1:9" s="463" customFormat="1" ht="24.75" customHeight="1" x14ac:dyDescent="0.2">
      <c r="A14" s="493" t="s">
        <v>23</v>
      </c>
      <c r="B14" s="489" t="s">
        <v>566</v>
      </c>
      <c r="C14" s="490">
        <v>10</v>
      </c>
      <c r="D14" s="491">
        <v>13.416</v>
      </c>
      <c r="E14" s="491">
        <v>15</v>
      </c>
      <c r="F14" s="491">
        <f t="shared" si="4"/>
        <v>1.3416000000000001</v>
      </c>
      <c r="G14" s="491">
        <f t="shared" si="4"/>
        <v>1.1180679785330947</v>
      </c>
    </row>
    <row r="15" spans="1:9" s="492" customFormat="1" ht="24.75" customHeight="1" x14ac:dyDescent="0.2">
      <c r="A15" s="488" t="s">
        <v>23</v>
      </c>
      <c r="B15" s="489" t="s">
        <v>366</v>
      </c>
      <c r="C15" s="490">
        <v>14.4</v>
      </c>
      <c r="D15" s="491">
        <v>11.897200000000002</v>
      </c>
      <c r="E15" s="491">
        <v>12</v>
      </c>
      <c r="F15" s="491">
        <f t="shared" si="4"/>
        <v>0.82619444444444456</v>
      </c>
      <c r="G15" s="491">
        <f t="shared" si="4"/>
        <v>1.0086406885653767</v>
      </c>
    </row>
    <row r="16" spans="1:9" s="492" customFormat="1" ht="24.75" customHeight="1" x14ac:dyDescent="0.2">
      <c r="A16" s="493" t="s">
        <v>23</v>
      </c>
      <c r="B16" s="489" t="s">
        <v>370</v>
      </c>
      <c r="C16" s="490">
        <v>18</v>
      </c>
      <c r="D16" s="491">
        <v>9.6700000000000017</v>
      </c>
      <c r="E16" s="491">
        <v>10</v>
      </c>
      <c r="F16" s="491">
        <f t="shared" si="4"/>
        <v>0.53722222222222227</v>
      </c>
      <c r="G16" s="491">
        <f t="shared" si="4"/>
        <v>1.0341261633919336</v>
      </c>
    </row>
    <row r="17" spans="1:7" s="492" customFormat="1" ht="24.75" customHeight="1" x14ac:dyDescent="0.2">
      <c r="A17" s="488" t="s">
        <v>23</v>
      </c>
      <c r="B17" s="489" t="s">
        <v>372</v>
      </c>
      <c r="C17" s="490">
        <v>20</v>
      </c>
      <c r="D17" s="491">
        <v>21.96</v>
      </c>
      <c r="E17" s="491">
        <v>25</v>
      </c>
      <c r="F17" s="491">
        <f t="shared" si="4"/>
        <v>1.0980000000000001</v>
      </c>
      <c r="G17" s="491">
        <f t="shared" si="4"/>
        <v>1.1384335154826957</v>
      </c>
    </row>
    <row r="18" spans="1:7" s="492" customFormat="1" ht="24.75" customHeight="1" x14ac:dyDescent="0.2">
      <c r="A18" s="493" t="s">
        <v>23</v>
      </c>
      <c r="B18" s="489" t="s">
        <v>365</v>
      </c>
      <c r="C18" s="490">
        <v>10</v>
      </c>
      <c r="D18" s="491">
        <v>8.7479999999999993</v>
      </c>
      <c r="E18" s="491">
        <v>10</v>
      </c>
      <c r="F18" s="491">
        <f t="shared" si="4"/>
        <v>0.87479999999999991</v>
      </c>
      <c r="G18" s="491">
        <f t="shared" si="4"/>
        <v>1.1431184270690444</v>
      </c>
    </row>
    <row r="19" spans="1:7" s="492" customFormat="1" ht="24.75" customHeight="1" x14ac:dyDescent="0.2">
      <c r="A19" s="488" t="s">
        <v>23</v>
      </c>
      <c r="B19" s="489" t="s">
        <v>367</v>
      </c>
      <c r="C19" s="490">
        <v>20</v>
      </c>
      <c r="D19" s="491">
        <v>22.51</v>
      </c>
      <c r="E19" s="491">
        <v>25</v>
      </c>
      <c r="F19" s="491">
        <f t="shared" si="4"/>
        <v>1.1255000000000002</v>
      </c>
      <c r="G19" s="491">
        <f t="shared" si="4"/>
        <v>1.1106175033318524</v>
      </c>
    </row>
    <row r="20" spans="1:7" s="492" customFormat="1" ht="24.75" customHeight="1" x14ac:dyDescent="0.2">
      <c r="A20" s="493" t="s">
        <v>23</v>
      </c>
      <c r="B20" s="489" t="s">
        <v>364</v>
      </c>
      <c r="C20" s="490">
        <v>8</v>
      </c>
      <c r="D20" s="491">
        <v>8.9592000000000009</v>
      </c>
      <c r="E20" s="491">
        <v>10</v>
      </c>
      <c r="F20" s="491">
        <f t="shared" si="4"/>
        <v>1.1199000000000001</v>
      </c>
      <c r="G20" s="491">
        <f t="shared" si="4"/>
        <v>1.1161710867041699</v>
      </c>
    </row>
    <row r="21" spans="1:7" s="463" customFormat="1" ht="24.75" customHeight="1" x14ac:dyDescent="0.2">
      <c r="A21" s="488" t="s">
        <v>23</v>
      </c>
      <c r="B21" s="489" t="s">
        <v>368</v>
      </c>
      <c r="C21" s="490">
        <v>14</v>
      </c>
      <c r="D21" s="491">
        <v>14.464000000000002</v>
      </c>
      <c r="E21" s="491">
        <v>20</v>
      </c>
      <c r="F21" s="491">
        <f t="shared" si="4"/>
        <v>1.0331428571428574</v>
      </c>
      <c r="G21" s="491">
        <f t="shared" si="4"/>
        <v>1.3827433628318582</v>
      </c>
    </row>
    <row r="22" spans="1:7" s="463" customFormat="1" ht="24.75" customHeight="1" x14ac:dyDescent="0.2">
      <c r="A22" s="493" t="s">
        <v>23</v>
      </c>
      <c r="B22" s="489" t="s">
        <v>363</v>
      </c>
      <c r="C22" s="490">
        <v>8.8000000000000007</v>
      </c>
      <c r="D22" s="491">
        <v>4.6551999999999998</v>
      </c>
      <c r="E22" s="494">
        <v>10</v>
      </c>
      <c r="F22" s="491">
        <f t="shared" si="4"/>
        <v>0.52899999999999991</v>
      </c>
      <c r="G22" s="491">
        <f t="shared" si="4"/>
        <v>2.1481354184567798</v>
      </c>
    </row>
    <row r="23" spans="1:7" s="463" customFormat="1" ht="24.75" customHeight="1" x14ac:dyDescent="0.2">
      <c r="A23" s="488" t="s">
        <v>23</v>
      </c>
      <c r="B23" s="489" t="s">
        <v>369</v>
      </c>
      <c r="C23" s="490">
        <v>24</v>
      </c>
      <c r="D23" s="491">
        <v>33.888400000000004</v>
      </c>
      <c r="E23" s="494">
        <v>35</v>
      </c>
      <c r="F23" s="491">
        <f t="shared" si="4"/>
        <v>1.4120166666666669</v>
      </c>
      <c r="G23" s="491">
        <f t="shared" si="4"/>
        <v>1.0328017846814839</v>
      </c>
    </row>
    <row r="24" spans="1:7" s="463" customFormat="1" ht="24.75" customHeight="1" x14ac:dyDescent="0.2">
      <c r="A24" s="493" t="s">
        <v>23</v>
      </c>
      <c r="B24" s="489" t="s">
        <v>371</v>
      </c>
      <c r="C24" s="490">
        <v>24</v>
      </c>
      <c r="D24" s="491">
        <v>28.165999999999997</v>
      </c>
      <c r="E24" s="494">
        <v>30</v>
      </c>
      <c r="F24" s="491">
        <f t="shared" si="4"/>
        <v>1.1735833333333332</v>
      </c>
      <c r="G24" s="491">
        <f t="shared" si="4"/>
        <v>1.06511396719449</v>
      </c>
    </row>
    <row r="25" spans="1:7" s="478" customFormat="1" ht="24.75" customHeight="1" x14ac:dyDescent="0.25">
      <c r="A25" s="495">
        <v>2</v>
      </c>
      <c r="B25" s="487" t="s">
        <v>373</v>
      </c>
      <c r="C25" s="496">
        <f>SUM(C26:C40)</f>
        <v>234.2</v>
      </c>
      <c r="D25" s="496">
        <f t="shared" ref="D25:G25" si="5">SUM(D26:D40)</f>
        <v>192.17540000000002</v>
      </c>
      <c r="E25" s="496">
        <f t="shared" si="5"/>
        <v>227</v>
      </c>
      <c r="F25" s="496">
        <f t="shared" si="5"/>
        <v>13.834249099234098</v>
      </c>
      <c r="G25" s="496">
        <f t="shared" si="5"/>
        <v>20.162771257279282</v>
      </c>
    </row>
    <row r="26" spans="1:7" s="463" customFormat="1" ht="24.75" customHeight="1" x14ac:dyDescent="0.2">
      <c r="A26" s="488" t="s">
        <v>23</v>
      </c>
      <c r="B26" s="489" t="s">
        <v>380</v>
      </c>
      <c r="C26" s="490">
        <v>12</v>
      </c>
      <c r="D26" s="491">
        <v>6.7604000000000006</v>
      </c>
      <c r="E26" s="494">
        <v>10</v>
      </c>
      <c r="F26" s="491">
        <f t="shared" si="4"/>
        <v>0.56336666666666668</v>
      </c>
      <c r="G26" s="491">
        <f t="shared" si="4"/>
        <v>1.4792024140583395</v>
      </c>
    </row>
    <row r="27" spans="1:7" s="463" customFormat="1" ht="24.75" customHeight="1" x14ac:dyDescent="0.2">
      <c r="A27" s="488" t="s">
        <v>23</v>
      </c>
      <c r="B27" s="489" t="s">
        <v>374</v>
      </c>
      <c r="C27" s="490">
        <v>16.8</v>
      </c>
      <c r="D27" s="491">
        <v>19.985600000000002</v>
      </c>
      <c r="E27" s="494">
        <v>20</v>
      </c>
      <c r="F27" s="491">
        <f t="shared" si="4"/>
        <v>1.1896190476190476</v>
      </c>
      <c r="G27" s="491">
        <f t="shared" si="4"/>
        <v>1.0007205187735169</v>
      </c>
    </row>
    <row r="28" spans="1:7" s="463" customFormat="1" ht="24.75" customHeight="1" x14ac:dyDescent="0.2">
      <c r="A28" s="488" t="s">
        <v>23</v>
      </c>
      <c r="B28" s="489" t="s">
        <v>567</v>
      </c>
      <c r="C28" s="490">
        <v>7</v>
      </c>
      <c r="D28" s="491">
        <v>9.1016000000000012</v>
      </c>
      <c r="E28" s="494">
        <v>10</v>
      </c>
      <c r="F28" s="491">
        <f t="shared" si="4"/>
        <v>1.3002285714285715</v>
      </c>
      <c r="G28" s="491">
        <f t="shared" si="4"/>
        <v>1.0987079194866836</v>
      </c>
    </row>
    <row r="29" spans="1:7" s="463" customFormat="1" ht="24.75" customHeight="1" x14ac:dyDescent="0.2">
      <c r="A29" s="488" t="s">
        <v>23</v>
      </c>
      <c r="B29" s="489" t="s">
        <v>381</v>
      </c>
      <c r="C29" s="490">
        <v>22</v>
      </c>
      <c r="D29" s="491">
        <v>13.248000000000003</v>
      </c>
      <c r="E29" s="494">
        <v>15</v>
      </c>
      <c r="F29" s="491">
        <f t="shared" si="4"/>
        <v>0.60218181818181826</v>
      </c>
      <c r="G29" s="491">
        <f t="shared" si="4"/>
        <v>1.132246376811594</v>
      </c>
    </row>
    <row r="30" spans="1:7" s="463" customFormat="1" ht="24.75" customHeight="1" x14ac:dyDescent="0.2">
      <c r="A30" s="488" t="s">
        <v>23</v>
      </c>
      <c r="B30" s="489" t="s">
        <v>568</v>
      </c>
      <c r="C30" s="490">
        <v>20</v>
      </c>
      <c r="D30" s="491">
        <v>13.952800000000003</v>
      </c>
      <c r="E30" s="494">
        <v>15</v>
      </c>
      <c r="F30" s="491">
        <f t="shared" si="4"/>
        <v>0.69764000000000015</v>
      </c>
      <c r="G30" s="491">
        <f t="shared" si="4"/>
        <v>1.0750530359497732</v>
      </c>
    </row>
    <row r="31" spans="1:7" s="463" customFormat="1" ht="24.75" customHeight="1" x14ac:dyDescent="0.2">
      <c r="A31" s="488" t="s">
        <v>23</v>
      </c>
      <c r="B31" s="489" t="s">
        <v>379</v>
      </c>
      <c r="C31" s="490">
        <v>13</v>
      </c>
      <c r="D31" s="491">
        <v>13.42</v>
      </c>
      <c r="E31" s="494">
        <v>15</v>
      </c>
      <c r="F31" s="491">
        <f t="shared" si="4"/>
        <v>1.0323076923076924</v>
      </c>
      <c r="G31" s="491">
        <f t="shared" si="4"/>
        <v>1.1177347242921014</v>
      </c>
    </row>
    <row r="32" spans="1:7" s="463" customFormat="1" ht="24.75" customHeight="1" x14ac:dyDescent="0.2">
      <c r="A32" s="488" t="s">
        <v>23</v>
      </c>
      <c r="B32" s="489" t="s">
        <v>377</v>
      </c>
      <c r="C32" s="490">
        <v>4.4000000000000004</v>
      </c>
      <c r="D32" s="491">
        <v>5.9328000000000003</v>
      </c>
      <c r="E32" s="494">
        <v>10</v>
      </c>
      <c r="F32" s="491">
        <f t="shared" si="4"/>
        <v>1.3483636363636364</v>
      </c>
      <c r="G32" s="491">
        <f t="shared" si="4"/>
        <v>1.6855447680690399</v>
      </c>
    </row>
    <row r="33" spans="1:7" s="463" customFormat="1" ht="24.75" customHeight="1" x14ac:dyDescent="0.2">
      <c r="A33" s="488" t="s">
        <v>23</v>
      </c>
      <c r="B33" s="489" t="s">
        <v>378</v>
      </c>
      <c r="C33" s="490">
        <v>15</v>
      </c>
      <c r="D33" s="491">
        <v>12.2972</v>
      </c>
      <c r="E33" s="494">
        <v>15</v>
      </c>
      <c r="F33" s="491">
        <f t="shared" si="4"/>
        <v>0.81981333333333339</v>
      </c>
      <c r="G33" s="491">
        <f t="shared" si="4"/>
        <v>1.2197898708649124</v>
      </c>
    </row>
    <row r="34" spans="1:7" s="463" customFormat="1" ht="24.75" customHeight="1" x14ac:dyDescent="0.2">
      <c r="A34" s="488" t="s">
        <v>23</v>
      </c>
      <c r="B34" s="489" t="s">
        <v>376</v>
      </c>
      <c r="C34" s="490">
        <v>8</v>
      </c>
      <c r="D34" s="491">
        <v>8.4892000000000003</v>
      </c>
      <c r="E34" s="494">
        <v>10</v>
      </c>
      <c r="F34" s="491">
        <f t="shared" si="4"/>
        <v>1.06115</v>
      </c>
      <c r="G34" s="491">
        <f t="shared" si="4"/>
        <v>1.1779672996277624</v>
      </c>
    </row>
    <row r="35" spans="1:7" s="463" customFormat="1" ht="24.75" customHeight="1" x14ac:dyDescent="0.2">
      <c r="A35" s="488" t="s">
        <v>23</v>
      </c>
      <c r="B35" s="489" t="s">
        <v>569</v>
      </c>
      <c r="C35" s="490">
        <v>40</v>
      </c>
      <c r="D35" s="491">
        <v>33.232000000000006</v>
      </c>
      <c r="E35" s="494">
        <v>35</v>
      </c>
      <c r="F35" s="491">
        <f t="shared" si="4"/>
        <v>0.8308000000000002</v>
      </c>
      <c r="G35" s="491">
        <f t="shared" si="4"/>
        <v>1.0532017332691379</v>
      </c>
    </row>
    <row r="36" spans="1:7" s="463" customFormat="1" ht="24.75" customHeight="1" x14ac:dyDescent="0.2">
      <c r="A36" s="488" t="s">
        <v>23</v>
      </c>
      <c r="B36" s="489" t="s">
        <v>570</v>
      </c>
      <c r="C36" s="490">
        <v>8</v>
      </c>
      <c r="D36" s="491">
        <v>11.514000000000001</v>
      </c>
      <c r="E36" s="494">
        <v>12</v>
      </c>
      <c r="F36" s="491">
        <f t="shared" si="4"/>
        <v>1.4392500000000001</v>
      </c>
      <c r="G36" s="491">
        <f t="shared" si="4"/>
        <v>1.0422094841063052</v>
      </c>
    </row>
    <row r="37" spans="1:7" s="463" customFormat="1" ht="24.75" customHeight="1" x14ac:dyDescent="0.2">
      <c r="A37" s="488" t="s">
        <v>23</v>
      </c>
      <c r="B37" s="489" t="s">
        <v>571</v>
      </c>
      <c r="C37" s="490">
        <v>6</v>
      </c>
      <c r="D37" s="491">
        <v>6.6176000000000004</v>
      </c>
      <c r="E37" s="494">
        <v>10</v>
      </c>
      <c r="F37" s="491">
        <f t="shared" si="4"/>
        <v>1.1029333333333333</v>
      </c>
      <c r="G37" s="491">
        <f t="shared" si="4"/>
        <v>1.5111218568665377</v>
      </c>
    </row>
    <row r="38" spans="1:7" s="463" customFormat="1" ht="24.75" customHeight="1" x14ac:dyDescent="0.2">
      <c r="A38" s="488" t="s">
        <v>23</v>
      </c>
      <c r="B38" s="489" t="s">
        <v>375</v>
      </c>
      <c r="C38" s="490">
        <v>24</v>
      </c>
      <c r="D38" s="491">
        <v>28.584</v>
      </c>
      <c r="E38" s="494">
        <v>30</v>
      </c>
      <c r="F38" s="491">
        <f t="shared" si="4"/>
        <v>1.1910000000000001</v>
      </c>
      <c r="G38" s="491">
        <f t="shared" si="4"/>
        <v>1.0495382031905962</v>
      </c>
    </row>
    <row r="39" spans="1:7" s="463" customFormat="1" ht="24.75" customHeight="1" x14ac:dyDescent="0.2">
      <c r="A39" s="488" t="s">
        <v>23</v>
      </c>
      <c r="B39" s="489" t="s">
        <v>572</v>
      </c>
      <c r="C39" s="490">
        <v>8</v>
      </c>
      <c r="D39" s="491">
        <v>3.8646000000000003</v>
      </c>
      <c r="E39" s="494">
        <v>10</v>
      </c>
      <c r="F39" s="491">
        <f t="shared" si="4"/>
        <v>0.48307500000000003</v>
      </c>
      <c r="G39" s="491">
        <f t="shared" si="4"/>
        <v>2.5875899187496763</v>
      </c>
    </row>
    <row r="40" spans="1:7" s="463" customFormat="1" ht="24.75" customHeight="1" x14ac:dyDescent="0.2">
      <c r="A40" s="488" t="s">
        <v>23</v>
      </c>
      <c r="B40" s="489" t="s">
        <v>573</v>
      </c>
      <c r="C40" s="490">
        <v>30</v>
      </c>
      <c r="D40" s="491">
        <v>5.1756000000000002</v>
      </c>
      <c r="E40" s="494">
        <v>10</v>
      </c>
      <c r="F40" s="491">
        <f t="shared" si="4"/>
        <v>0.17252000000000001</v>
      </c>
      <c r="G40" s="491">
        <f t="shared" si="4"/>
        <v>1.9321431331633048</v>
      </c>
    </row>
    <row r="41" spans="1:7" s="478" customFormat="1" ht="24.75" customHeight="1" x14ac:dyDescent="0.25">
      <c r="A41" s="486">
        <v>3</v>
      </c>
      <c r="B41" s="497" t="s">
        <v>382</v>
      </c>
      <c r="C41" s="485">
        <v>60</v>
      </c>
      <c r="D41" s="485">
        <v>369</v>
      </c>
      <c r="E41" s="485">
        <v>60</v>
      </c>
      <c r="F41" s="485">
        <f>D41/C41</f>
        <v>6.15</v>
      </c>
      <c r="G41" s="485">
        <f>E41/D41</f>
        <v>0.16260162601626016</v>
      </c>
    </row>
    <row r="42" spans="1:7" s="466" customFormat="1" ht="24.75" customHeight="1" x14ac:dyDescent="0.25">
      <c r="A42" s="498" t="s">
        <v>29</v>
      </c>
      <c r="B42" s="484" t="s">
        <v>383</v>
      </c>
      <c r="C42" s="499">
        <f>SUM(C43:C45)</f>
        <v>884.76</v>
      </c>
      <c r="D42" s="499">
        <f t="shared" ref="D42:G42" si="6">SUM(D43:D45)</f>
        <v>815.428</v>
      </c>
      <c r="E42" s="499">
        <f t="shared" si="6"/>
        <v>886.77</v>
      </c>
      <c r="F42" s="499">
        <f t="shared" si="6"/>
        <v>2.8119371706706171</v>
      </c>
      <c r="G42" s="499">
        <f t="shared" si="6"/>
        <v>3.2221352002548231</v>
      </c>
    </row>
    <row r="43" spans="1:7" s="464" customFormat="1" ht="24.75" customHeight="1" x14ac:dyDescent="0.2">
      <c r="A43" s="500">
        <v>1</v>
      </c>
      <c r="B43" s="501" t="s">
        <v>384</v>
      </c>
      <c r="C43" s="494">
        <v>460.77</v>
      </c>
      <c r="D43" s="494">
        <f>245.984+144.944</f>
        <v>390.928</v>
      </c>
      <c r="E43" s="494">
        <v>460.77</v>
      </c>
      <c r="F43" s="494">
        <f t="shared" ref="F43:G44" si="7">+D43/C43</f>
        <v>0.84842329144692585</v>
      </c>
      <c r="G43" s="494">
        <f t="shared" si="7"/>
        <v>1.1786569393852575</v>
      </c>
    </row>
    <row r="44" spans="1:7" s="464" customFormat="1" ht="24.75" customHeight="1" x14ac:dyDescent="0.2">
      <c r="A44" s="500">
        <v>2</v>
      </c>
      <c r="B44" s="501" t="s">
        <v>385</v>
      </c>
      <c r="C44" s="494">
        <v>387.99</v>
      </c>
      <c r="D44" s="494">
        <v>390</v>
      </c>
      <c r="E44" s="494">
        <v>390</v>
      </c>
      <c r="F44" s="494">
        <f t="shared" si="7"/>
        <v>1.005180545890358</v>
      </c>
      <c r="G44" s="494">
        <f t="shared" si="7"/>
        <v>1</v>
      </c>
    </row>
    <row r="45" spans="1:7" s="464" customFormat="1" ht="24.75" customHeight="1" x14ac:dyDescent="0.2">
      <c r="A45" s="500">
        <v>3</v>
      </c>
      <c r="B45" s="501" t="s">
        <v>386</v>
      </c>
      <c r="C45" s="494">
        <f>3*12</f>
        <v>36</v>
      </c>
      <c r="D45" s="494">
        <f>3*12-1.5</f>
        <v>34.5</v>
      </c>
      <c r="E45" s="494">
        <f>3*12</f>
        <v>36</v>
      </c>
      <c r="F45" s="494">
        <f>+D45/C45</f>
        <v>0.95833333333333337</v>
      </c>
      <c r="G45" s="494">
        <f>+E45/D45</f>
        <v>1.0434782608695652</v>
      </c>
    </row>
    <row r="46" spans="1:7" s="503" customFormat="1" ht="24.75" customHeight="1" x14ac:dyDescent="0.2">
      <c r="A46" s="498" t="s">
        <v>35</v>
      </c>
      <c r="B46" s="484" t="s">
        <v>237</v>
      </c>
      <c r="C46" s="502">
        <v>25</v>
      </c>
      <c r="D46" s="502">
        <v>26.565000000000001</v>
      </c>
      <c r="E46" s="502">
        <v>25</v>
      </c>
      <c r="F46" s="485">
        <f t="shared" ref="F46:G46" si="8">D46/C46</f>
        <v>1.0626</v>
      </c>
      <c r="G46" s="485">
        <f t="shared" si="8"/>
        <v>0.94108789760963674</v>
      </c>
    </row>
    <row r="47" spans="1:7" s="503" customFormat="1" ht="24.75" customHeight="1" x14ac:dyDescent="0.2">
      <c r="A47" s="498" t="s">
        <v>68</v>
      </c>
      <c r="B47" s="484" t="s">
        <v>387</v>
      </c>
      <c r="C47" s="502"/>
      <c r="D47" s="502"/>
      <c r="E47" s="502"/>
      <c r="F47" s="485"/>
      <c r="G47" s="485"/>
    </row>
    <row r="48" spans="1:7" s="503" customFormat="1" ht="24.75" customHeight="1" x14ac:dyDescent="0.2">
      <c r="A48" s="498" t="s">
        <v>70</v>
      </c>
      <c r="B48" s="484" t="s">
        <v>388</v>
      </c>
      <c r="C48" s="502"/>
      <c r="D48" s="502"/>
      <c r="E48" s="502"/>
      <c r="F48" s="485"/>
      <c r="G48" s="485"/>
    </row>
    <row r="49" spans="1:7" s="503" customFormat="1" ht="24.75" customHeight="1" x14ac:dyDescent="0.2">
      <c r="A49" s="504" t="s">
        <v>72</v>
      </c>
      <c r="B49" s="505" t="s">
        <v>389</v>
      </c>
      <c r="C49" s="506"/>
      <c r="D49" s="506"/>
      <c r="E49" s="506"/>
      <c r="F49" s="507"/>
      <c r="G49" s="507"/>
    </row>
    <row r="50" spans="1:7" s="464" customFormat="1" x14ac:dyDescent="0.2"/>
    <row r="51" spans="1:7" s="464" customFormat="1" x14ac:dyDescent="0.2"/>
    <row r="52" spans="1:7" s="464" customFormat="1" x14ac:dyDescent="0.2"/>
    <row r="53" spans="1:7" s="464" customFormat="1" x14ac:dyDescent="0.2"/>
    <row r="54" spans="1:7" s="464" customFormat="1" x14ac:dyDescent="0.2"/>
    <row r="55" spans="1:7" s="464" customFormat="1" x14ac:dyDescent="0.2"/>
  </sheetData>
  <mergeCells count="9">
    <mergeCell ref="F4:G4"/>
    <mergeCell ref="A1:D1"/>
    <mergeCell ref="F1:G1"/>
    <mergeCell ref="A2:G2"/>
    <mergeCell ref="A4:A5"/>
    <mergeCell ref="B4:B5"/>
    <mergeCell ref="C4:C5"/>
    <mergeCell ref="D4:D5"/>
    <mergeCell ref="E4:E5"/>
  </mergeCells>
  <printOptions horizontalCentered="1"/>
  <pageMargins left="0.29527559055118113" right="0.23622047244094491" top="0.29527559055118113" bottom="0.29527559055118113" header="0.31496062992125984" footer="0.31496062992125984"/>
  <pageSetup paperSize="9" orientation="portrait" verticalDpi="0" r:id="rId1"/>
  <drawing r:id="rId2"/>
  <legacyDrawing r:id="rId3"/>
  <oleObjects>
    <mc:AlternateContent xmlns:mc="http://schemas.openxmlformats.org/markup-compatibility/2006">
      <mc:Choice Requires="x14">
        <oleObject progId="Equation.DSMT4" shapeId="69633" r:id="rId4">
          <objectPr defaultSize="0" autoPict="0" r:id="rId5">
            <anchor moveWithCells="1" sizeWithCells="1">
              <from>
                <xdr:col>1</xdr:col>
                <xdr:colOff>0</xdr:colOff>
                <xdr:row>39</xdr:row>
                <xdr:rowOff>0</xdr:rowOff>
              </from>
              <to>
                <xdr:col>1</xdr:col>
                <xdr:colOff>114300</xdr:colOff>
                <xdr:row>39</xdr:row>
                <xdr:rowOff>0</xdr:rowOff>
              </to>
            </anchor>
          </objectPr>
        </oleObject>
      </mc:Choice>
      <mc:Fallback>
        <oleObject progId="Equation.DSMT4" shapeId="69633" r:id="rId4"/>
      </mc:Fallback>
    </mc:AlternateContent>
    <mc:AlternateContent xmlns:mc="http://schemas.openxmlformats.org/markup-compatibility/2006">
      <mc:Choice Requires="x14">
        <oleObject progId="Equation.DSMT4" shapeId="69634" r:id="rId6">
          <objectPr defaultSize="0" autoPict="0" r:id="rId5">
            <anchor moveWithCells="1" sizeWithCells="1">
              <from>
                <xdr:col>1</xdr:col>
                <xdr:colOff>0</xdr:colOff>
                <xdr:row>39</xdr:row>
                <xdr:rowOff>0</xdr:rowOff>
              </from>
              <to>
                <xdr:col>1</xdr:col>
                <xdr:colOff>114300</xdr:colOff>
                <xdr:row>39</xdr:row>
                <xdr:rowOff>0</xdr:rowOff>
              </to>
            </anchor>
          </objectPr>
        </oleObject>
      </mc:Choice>
      <mc:Fallback>
        <oleObject progId="Equation.DSMT4" shapeId="69634" r:id="rId6"/>
      </mc:Fallback>
    </mc:AlternateContent>
    <mc:AlternateContent xmlns:mc="http://schemas.openxmlformats.org/markup-compatibility/2006">
      <mc:Choice Requires="x14">
        <oleObject progId="Equation.DSMT4" shapeId="69636" r:id="rId7">
          <objectPr defaultSize="0" autoPict="0" r:id="rId5">
            <anchor moveWithCells="1" sizeWithCells="1">
              <from>
                <xdr:col>1</xdr:col>
                <xdr:colOff>0</xdr:colOff>
                <xdr:row>39</xdr:row>
                <xdr:rowOff>0</xdr:rowOff>
              </from>
              <to>
                <xdr:col>1</xdr:col>
                <xdr:colOff>114300</xdr:colOff>
                <xdr:row>39</xdr:row>
                <xdr:rowOff>0</xdr:rowOff>
              </to>
            </anchor>
          </objectPr>
        </oleObject>
      </mc:Choice>
      <mc:Fallback>
        <oleObject progId="Equation.DSMT4" shapeId="69636" r:id="rId7"/>
      </mc:Fallback>
    </mc:AlternateContent>
    <mc:AlternateContent xmlns:mc="http://schemas.openxmlformats.org/markup-compatibility/2006">
      <mc:Choice Requires="x14">
        <oleObject progId="Equation.DSMT4" shapeId="69637" r:id="rId8">
          <objectPr defaultSize="0" autoPict="0" r:id="rId5">
            <anchor moveWithCells="1" sizeWithCells="1">
              <from>
                <xdr:col>1</xdr:col>
                <xdr:colOff>0</xdr:colOff>
                <xdr:row>39</xdr:row>
                <xdr:rowOff>0</xdr:rowOff>
              </from>
              <to>
                <xdr:col>1</xdr:col>
                <xdr:colOff>114300</xdr:colOff>
                <xdr:row>39</xdr:row>
                <xdr:rowOff>0</xdr:rowOff>
              </to>
            </anchor>
          </objectPr>
        </oleObject>
      </mc:Choice>
      <mc:Fallback>
        <oleObject progId="Equation.DSMT4" shapeId="69637" r:id="rId8"/>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workbookViewId="0">
      <selection activeCell="N51" sqref="N51"/>
    </sheetView>
  </sheetViews>
  <sheetFormatPr defaultRowHeight="15" x14ac:dyDescent="0.25"/>
  <cols>
    <col min="1" max="1" width="6" style="2" customWidth="1"/>
    <col min="2" max="2" width="37.28515625" style="2" customWidth="1"/>
    <col min="3" max="7" width="10.5703125" style="2" customWidth="1"/>
    <col min="8" max="8" width="9.7109375" style="2" customWidth="1"/>
    <col min="9" max="16384" width="9.140625" style="2"/>
  </cols>
  <sheetData>
    <row r="1" spans="1:13" x14ac:dyDescent="0.25">
      <c r="A1" s="530" t="s">
        <v>180</v>
      </c>
      <c r="B1" s="530"/>
      <c r="C1" s="39"/>
      <c r="D1" s="39"/>
      <c r="E1" s="199"/>
      <c r="F1" s="199"/>
      <c r="G1" s="199"/>
      <c r="H1" s="530" t="s">
        <v>462</v>
      </c>
      <c r="I1" s="530"/>
      <c r="J1" s="530"/>
      <c r="K1" s="530"/>
      <c r="L1" s="530"/>
    </row>
    <row r="2" spans="1:13" ht="13.5" customHeight="1" x14ac:dyDescent="0.25">
      <c r="A2" s="530" t="s">
        <v>463</v>
      </c>
      <c r="B2" s="530"/>
      <c r="C2" s="530"/>
      <c r="D2" s="530"/>
      <c r="E2" s="530"/>
      <c r="F2" s="530"/>
      <c r="G2" s="530"/>
      <c r="H2" s="530"/>
      <c r="I2" s="530"/>
      <c r="J2" s="530"/>
      <c r="K2" s="530"/>
      <c r="L2" s="530"/>
    </row>
    <row r="3" spans="1:13" ht="12" customHeight="1" x14ac:dyDescent="0.25">
      <c r="A3" s="39"/>
      <c r="C3" s="39"/>
      <c r="D3" s="39"/>
      <c r="E3" s="542"/>
      <c r="F3" s="542"/>
      <c r="G3" s="542"/>
      <c r="H3" s="542"/>
      <c r="I3" s="199"/>
      <c r="J3" s="199"/>
      <c r="K3" s="199"/>
      <c r="L3" s="199"/>
    </row>
    <row r="4" spans="1:13" x14ac:dyDescent="0.25">
      <c r="A4" s="533" t="s">
        <v>13</v>
      </c>
      <c r="B4" s="533" t="s">
        <v>14</v>
      </c>
      <c r="C4" s="533" t="s">
        <v>464</v>
      </c>
      <c r="D4" s="533"/>
      <c r="E4" s="543" t="s">
        <v>410</v>
      </c>
      <c r="F4" s="544"/>
      <c r="G4" s="544"/>
      <c r="H4" s="545"/>
      <c r="I4" s="546" t="s">
        <v>465</v>
      </c>
      <c r="J4" s="547"/>
      <c r="K4" s="547"/>
      <c r="L4" s="548"/>
    </row>
    <row r="5" spans="1:13" ht="17.25" customHeight="1" x14ac:dyDescent="0.25">
      <c r="A5" s="533"/>
      <c r="B5" s="533"/>
      <c r="C5" s="550" t="s">
        <v>466</v>
      </c>
      <c r="D5" s="550" t="s">
        <v>467</v>
      </c>
      <c r="E5" s="538" t="s">
        <v>448</v>
      </c>
      <c r="F5" s="539"/>
      <c r="G5" s="538" t="s">
        <v>450</v>
      </c>
      <c r="H5" s="539"/>
      <c r="I5" s="533" t="s">
        <v>448</v>
      </c>
      <c r="J5" s="533"/>
      <c r="K5" s="533" t="s">
        <v>450</v>
      </c>
      <c r="L5" s="533"/>
    </row>
    <row r="6" spans="1:13" ht="15" customHeight="1" x14ac:dyDescent="0.25">
      <c r="A6" s="533"/>
      <c r="B6" s="533"/>
      <c r="C6" s="533"/>
      <c r="D6" s="533"/>
      <c r="E6" s="540"/>
      <c r="F6" s="541"/>
      <c r="G6" s="540"/>
      <c r="H6" s="541"/>
      <c r="I6" s="533"/>
      <c r="J6" s="533"/>
      <c r="K6" s="533"/>
      <c r="L6" s="533"/>
    </row>
    <row r="7" spans="1:13" ht="45" x14ac:dyDescent="0.25">
      <c r="A7" s="533"/>
      <c r="B7" s="533"/>
      <c r="C7" s="533"/>
      <c r="D7" s="533"/>
      <c r="E7" s="38" t="s">
        <v>468</v>
      </c>
      <c r="F7" s="38" t="s">
        <v>469</v>
      </c>
      <c r="G7" s="38" t="s">
        <v>468</v>
      </c>
      <c r="H7" s="38" t="s">
        <v>469</v>
      </c>
      <c r="I7" s="38" t="s">
        <v>470</v>
      </c>
      <c r="J7" s="38" t="s">
        <v>469</v>
      </c>
      <c r="K7" s="38" t="s">
        <v>470</v>
      </c>
      <c r="L7" s="38" t="s">
        <v>469</v>
      </c>
    </row>
    <row r="8" spans="1:13" s="61" customFormat="1" ht="17.25" customHeight="1" x14ac:dyDescent="0.25">
      <c r="A8" s="58" t="s">
        <v>17</v>
      </c>
      <c r="B8" s="59" t="s">
        <v>18</v>
      </c>
      <c r="C8" s="58">
        <v>1</v>
      </c>
      <c r="D8" s="58">
        <v>2</v>
      </c>
      <c r="E8" s="59">
        <v>3</v>
      </c>
      <c r="F8" s="59">
        <v>4</v>
      </c>
      <c r="G8" s="59">
        <v>5</v>
      </c>
      <c r="H8" s="59">
        <v>6</v>
      </c>
      <c r="I8" s="59">
        <v>7</v>
      </c>
      <c r="J8" s="59">
        <v>8</v>
      </c>
      <c r="K8" s="59">
        <v>9</v>
      </c>
      <c r="L8" s="59">
        <v>10</v>
      </c>
      <c r="M8" s="60"/>
    </row>
    <row r="9" spans="1:13" ht="18" customHeight="1" x14ac:dyDescent="0.25">
      <c r="A9" s="41"/>
      <c r="B9" s="201" t="s">
        <v>471</v>
      </c>
      <c r="C9" s="202">
        <f t="shared" ref="C9:H9" si="0">C10+C78+C79+C80</f>
        <v>140275.24632400001</v>
      </c>
      <c r="D9" s="202">
        <f t="shared" si="0"/>
        <v>117871.038214</v>
      </c>
      <c r="E9" s="203">
        <f t="shared" si="0"/>
        <v>117820</v>
      </c>
      <c r="F9" s="203">
        <f t="shared" si="0"/>
        <v>94965.3</v>
      </c>
      <c r="G9" s="203">
        <f t="shared" si="0"/>
        <v>216220</v>
      </c>
      <c r="H9" s="203">
        <f t="shared" si="0"/>
        <v>181287.25</v>
      </c>
      <c r="I9" s="204">
        <f>E9/C9</f>
        <v>0.83992010769930059</v>
      </c>
      <c r="J9" s="204">
        <f>F9/D9</f>
        <v>0.8056711931864583</v>
      </c>
      <c r="K9" s="204">
        <f>G9/C9</f>
        <v>1.5413981131110404</v>
      </c>
      <c r="L9" s="204">
        <f>H9/D9</f>
        <v>1.5380135166949587</v>
      </c>
      <c r="M9" s="40"/>
    </row>
    <row r="10" spans="1:13" ht="18.75" customHeight="1" x14ac:dyDescent="0.25">
      <c r="A10" s="198" t="s">
        <v>19</v>
      </c>
      <c r="B10" s="42" t="s">
        <v>48</v>
      </c>
      <c r="C10" s="43">
        <f t="shared" ref="C10:H10" si="1">C11+C18+C24+C26+C37+C38+C39+C40+C41+C44++C51+C54+C55+C58+C61+C62++C72+C75+C76+C77</f>
        <v>140275.24632400001</v>
      </c>
      <c r="D10" s="43">
        <f t="shared" si="1"/>
        <v>117871.038214</v>
      </c>
      <c r="E10" s="44">
        <f t="shared" si="1"/>
        <v>117820</v>
      </c>
      <c r="F10" s="44">
        <f t="shared" si="1"/>
        <v>94965.3</v>
      </c>
      <c r="G10" s="44">
        <f t="shared" si="1"/>
        <v>216220</v>
      </c>
      <c r="H10" s="44">
        <f t="shared" si="1"/>
        <v>181287.25</v>
      </c>
      <c r="I10" s="45">
        <f t="shared" ref="I10:J59" si="2">E10/C10</f>
        <v>0.83992010769930059</v>
      </c>
      <c r="J10" s="45">
        <f t="shared" si="2"/>
        <v>0.8056711931864583</v>
      </c>
      <c r="K10" s="45">
        <f t="shared" ref="K10:L59" si="3">G10/C10</f>
        <v>1.5413981131110404</v>
      </c>
      <c r="L10" s="45">
        <f t="shared" si="3"/>
        <v>1.5380135166949587</v>
      </c>
    </row>
    <row r="11" spans="1:13" ht="24.75" customHeight="1" x14ac:dyDescent="0.25">
      <c r="A11" s="198" t="s">
        <v>324</v>
      </c>
      <c r="B11" s="46" t="s">
        <v>472</v>
      </c>
      <c r="C11" s="43">
        <f>C12+C14+C15</f>
        <v>8540.0093240000006</v>
      </c>
      <c r="D11" s="43">
        <f t="shared" ref="D11:H11" si="4">D12+D14+D15</f>
        <v>852.50932399999999</v>
      </c>
      <c r="E11" s="43">
        <f t="shared" si="4"/>
        <v>8540</v>
      </c>
      <c r="F11" s="43">
        <f t="shared" si="4"/>
        <v>1293.8</v>
      </c>
      <c r="G11" s="43">
        <f t="shared" si="4"/>
        <v>8540</v>
      </c>
      <c r="H11" s="43">
        <f t="shared" si="4"/>
        <v>1293.75</v>
      </c>
      <c r="I11" s="45">
        <f t="shared" si="2"/>
        <v>0.99999890819791326</v>
      </c>
      <c r="J11" s="45">
        <f t="shared" si="2"/>
        <v>1.5176373601750777</v>
      </c>
      <c r="K11" s="45">
        <f t="shared" si="3"/>
        <v>0.99999890819791326</v>
      </c>
      <c r="L11" s="45">
        <f t="shared" si="3"/>
        <v>1.5175787097901583</v>
      </c>
    </row>
    <row r="12" spans="1:13" ht="18.75" customHeight="1" x14ac:dyDescent="0.25">
      <c r="A12" s="198" t="s">
        <v>184</v>
      </c>
      <c r="B12" s="42" t="s">
        <v>127</v>
      </c>
      <c r="C12" s="43">
        <v>8525</v>
      </c>
      <c r="D12" s="43">
        <f>C12*0.1</f>
        <v>852.5</v>
      </c>
      <c r="E12" s="44">
        <v>8525</v>
      </c>
      <c r="F12" s="44">
        <v>1278.8</v>
      </c>
      <c r="G12" s="44">
        <v>8525</v>
      </c>
      <c r="H12" s="47">
        <v>1278.75</v>
      </c>
      <c r="I12" s="45">
        <f t="shared" si="2"/>
        <v>1</v>
      </c>
      <c r="J12" s="45">
        <f t="shared" si="2"/>
        <v>1.5000586510263929</v>
      </c>
      <c r="K12" s="45">
        <f t="shared" si="3"/>
        <v>1</v>
      </c>
      <c r="L12" s="45">
        <f t="shared" si="3"/>
        <v>1.5</v>
      </c>
    </row>
    <row r="13" spans="1:13" ht="18.75" hidden="1" customHeight="1" x14ac:dyDescent="0.25">
      <c r="A13" s="198"/>
      <c r="B13" s="42" t="s">
        <v>473</v>
      </c>
      <c r="C13" s="43"/>
      <c r="D13" s="43"/>
      <c r="E13" s="44"/>
      <c r="F13" s="44"/>
      <c r="G13" s="44"/>
      <c r="H13" s="47"/>
      <c r="I13" s="45" t="e">
        <f t="shared" si="2"/>
        <v>#DIV/0!</v>
      </c>
      <c r="J13" s="45" t="e">
        <f t="shared" si="2"/>
        <v>#DIV/0!</v>
      </c>
      <c r="K13" s="45"/>
      <c r="L13" s="45" t="e">
        <f t="shared" si="3"/>
        <v>#DIV/0!</v>
      </c>
    </row>
    <row r="14" spans="1:13" ht="18.75" customHeight="1" x14ac:dyDescent="0.25">
      <c r="A14" s="198" t="s">
        <v>186</v>
      </c>
      <c r="B14" s="42" t="s">
        <v>128</v>
      </c>
      <c r="C14" s="43"/>
      <c r="D14" s="43"/>
      <c r="E14" s="44"/>
      <c r="F14" s="44"/>
      <c r="G14" s="44"/>
      <c r="H14" s="47"/>
      <c r="I14" s="45"/>
      <c r="J14" s="45"/>
      <c r="K14" s="45"/>
      <c r="L14" s="45"/>
    </row>
    <row r="15" spans="1:13" ht="18.75" customHeight="1" x14ac:dyDescent="0.25">
      <c r="A15" s="198" t="s">
        <v>474</v>
      </c>
      <c r="B15" s="42" t="s">
        <v>475</v>
      </c>
      <c r="C15" s="43">
        <f t="shared" ref="C15:H15" si="5">SUM(C16:C17)</f>
        <v>15.009323999999999</v>
      </c>
      <c r="D15" s="43">
        <f t="shared" si="5"/>
        <v>9.3240000000000007E-3</v>
      </c>
      <c r="E15" s="44">
        <f t="shared" si="5"/>
        <v>15</v>
      </c>
      <c r="F15" s="44">
        <f t="shared" si="5"/>
        <v>15</v>
      </c>
      <c r="G15" s="44">
        <f t="shared" si="5"/>
        <v>15</v>
      </c>
      <c r="H15" s="47">
        <f t="shared" si="5"/>
        <v>15</v>
      </c>
      <c r="I15" s="45">
        <f t="shared" si="2"/>
        <v>0.99937878614653131</v>
      </c>
      <c r="J15" s="45">
        <f>F15/D15</f>
        <v>1608.7516087516087</v>
      </c>
      <c r="K15" s="45">
        <f t="shared" si="3"/>
        <v>0.99937878614653131</v>
      </c>
      <c r="L15" s="45">
        <f t="shared" si="3"/>
        <v>1608.7516087516087</v>
      </c>
    </row>
    <row r="16" spans="1:13" ht="18.75" customHeight="1" x14ac:dyDescent="0.25">
      <c r="A16" s="198" t="s">
        <v>205</v>
      </c>
      <c r="B16" s="42" t="s">
        <v>476</v>
      </c>
      <c r="C16" s="43">
        <v>15</v>
      </c>
      <c r="D16" s="43"/>
      <c r="E16" s="44"/>
      <c r="F16" s="44"/>
      <c r="G16" s="44"/>
      <c r="H16" s="47"/>
      <c r="I16" s="45">
        <f t="shared" si="2"/>
        <v>0</v>
      </c>
      <c r="J16" s="45"/>
      <c r="K16" s="45">
        <f t="shared" si="3"/>
        <v>0</v>
      </c>
      <c r="L16" s="45"/>
    </row>
    <row r="17" spans="1:13" ht="18.75" customHeight="1" x14ac:dyDescent="0.25">
      <c r="A17" s="198" t="s">
        <v>205</v>
      </c>
      <c r="B17" s="42" t="s">
        <v>477</v>
      </c>
      <c r="C17" s="43">
        <v>9.3240000000000007E-3</v>
      </c>
      <c r="D17" s="43">
        <f>C17</f>
        <v>9.3240000000000007E-3</v>
      </c>
      <c r="E17" s="44">
        <v>15</v>
      </c>
      <c r="F17" s="44">
        <v>15</v>
      </c>
      <c r="G17" s="44">
        <v>15</v>
      </c>
      <c r="H17" s="47">
        <v>15</v>
      </c>
      <c r="I17" s="45">
        <f t="shared" si="2"/>
        <v>1608.7516087516087</v>
      </c>
      <c r="J17" s="45">
        <f t="shared" si="2"/>
        <v>1608.7516087516087</v>
      </c>
      <c r="K17" s="45">
        <f t="shared" si="3"/>
        <v>1608.7516087516087</v>
      </c>
      <c r="L17" s="45">
        <f t="shared" si="3"/>
        <v>1608.7516087516087</v>
      </c>
    </row>
    <row r="18" spans="1:13" ht="24.75" customHeight="1" x14ac:dyDescent="0.25">
      <c r="A18" s="198" t="s">
        <v>326</v>
      </c>
      <c r="B18" s="46" t="s">
        <v>478</v>
      </c>
      <c r="C18" s="43">
        <f t="shared" ref="C18:H18" si="6">C19+C20+C21+C22</f>
        <v>550.09</v>
      </c>
      <c r="D18" s="43">
        <f t="shared" si="6"/>
        <v>51.222389999999997</v>
      </c>
      <c r="E18" s="43">
        <f t="shared" si="6"/>
        <v>510</v>
      </c>
      <c r="F18" s="43">
        <f t="shared" si="6"/>
        <v>69.5</v>
      </c>
      <c r="G18" s="43">
        <f t="shared" si="6"/>
        <v>510</v>
      </c>
      <c r="H18" s="43">
        <f t="shared" si="6"/>
        <v>69.5</v>
      </c>
      <c r="I18" s="45">
        <f t="shared" si="2"/>
        <v>0.92712101656092638</v>
      </c>
      <c r="J18" s="45">
        <f t="shared" si="2"/>
        <v>1.3568285275247798</v>
      </c>
      <c r="K18" s="45">
        <f t="shared" si="3"/>
        <v>0.92712101656092638</v>
      </c>
      <c r="L18" s="45">
        <f t="shared" si="3"/>
        <v>1.3568285275247798</v>
      </c>
    </row>
    <row r="19" spans="1:13" ht="18.75" customHeight="1" x14ac:dyDescent="0.25">
      <c r="A19" s="198" t="s">
        <v>209</v>
      </c>
      <c r="B19" s="42" t="s">
        <v>127</v>
      </c>
      <c r="C19" s="43">
        <v>259.85000000000002</v>
      </c>
      <c r="D19" s="43">
        <f>C19*0.1</f>
        <v>25.985000000000003</v>
      </c>
      <c r="E19" s="44">
        <v>210</v>
      </c>
      <c r="F19" s="44">
        <v>32</v>
      </c>
      <c r="G19" s="44">
        <v>210</v>
      </c>
      <c r="H19" s="47">
        <v>32</v>
      </c>
      <c r="I19" s="45">
        <f t="shared" si="2"/>
        <v>0.80815855301135264</v>
      </c>
      <c r="J19" s="45">
        <f t="shared" si="2"/>
        <v>1.2314796998268229</v>
      </c>
      <c r="K19" s="45">
        <f t="shared" si="3"/>
        <v>0.80815855301135264</v>
      </c>
      <c r="L19" s="45">
        <f t="shared" si="3"/>
        <v>1.2314796998268229</v>
      </c>
    </row>
    <row r="20" spans="1:13" ht="18.75" customHeight="1" x14ac:dyDescent="0.25">
      <c r="A20" s="198" t="s">
        <v>213</v>
      </c>
      <c r="B20" s="42" t="s">
        <v>128</v>
      </c>
      <c r="C20" s="43">
        <v>250</v>
      </c>
      <c r="D20" s="43">
        <f>C20*0.1</f>
        <v>25</v>
      </c>
      <c r="E20" s="44">
        <v>250</v>
      </c>
      <c r="F20" s="44">
        <v>37.5</v>
      </c>
      <c r="G20" s="44">
        <v>250</v>
      </c>
      <c r="H20" s="48">
        <v>37.5</v>
      </c>
      <c r="I20" s="45">
        <f t="shared" si="2"/>
        <v>1</v>
      </c>
      <c r="J20" s="45">
        <f t="shared" si="2"/>
        <v>1.5</v>
      </c>
      <c r="K20" s="45">
        <f>G20/C20</f>
        <v>1</v>
      </c>
      <c r="L20" s="45">
        <f t="shared" si="3"/>
        <v>1.5</v>
      </c>
    </row>
    <row r="21" spans="1:13" ht="18.75" customHeight="1" x14ac:dyDescent="0.25">
      <c r="A21" s="198" t="s">
        <v>479</v>
      </c>
      <c r="B21" s="42" t="s">
        <v>480</v>
      </c>
      <c r="C21" s="43"/>
      <c r="D21" s="43"/>
      <c r="E21" s="44"/>
      <c r="F21" s="44"/>
      <c r="G21" s="44"/>
      <c r="H21" s="47"/>
      <c r="I21" s="45"/>
      <c r="J21" s="45"/>
      <c r="K21" s="45"/>
      <c r="L21" s="45"/>
    </row>
    <row r="22" spans="1:13" ht="18.75" customHeight="1" x14ac:dyDescent="0.25">
      <c r="A22" s="198" t="s">
        <v>479</v>
      </c>
      <c r="B22" s="42" t="s">
        <v>475</v>
      </c>
      <c r="C22" s="43">
        <f t="shared" ref="C22:H22" si="7">SUM(C23:C23)</f>
        <v>40.24</v>
      </c>
      <c r="D22" s="43">
        <f t="shared" si="7"/>
        <v>0.23738999999999999</v>
      </c>
      <c r="E22" s="44">
        <f t="shared" si="7"/>
        <v>50</v>
      </c>
      <c r="F22" s="44">
        <f t="shared" si="7"/>
        <v>0</v>
      </c>
      <c r="G22" s="44">
        <f t="shared" si="7"/>
        <v>50</v>
      </c>
      <c r="H22" s="47">
        <f t="shared" si="7"/>
        <v>0</v>
      </c>
      <c r="I22" s="45">
        <f t="shared" si="2"/>
        <v>1.242544731610338</v>
      </c>
      <c r="J22" s="45">
        <f t="shared" si="2"/>
        <v>0</v>
      </c>
      <c r="K22" s="45">
        <f t="shared" si="3"/>
        <v>1.242544731610338</v>
      </c>
      <c r="L22" s="45">
        <f t="shared" si="3"/>
        <v>0</v>
      </c>
    </row>
    <row r="23" spans="1:13" ht="18.75" customHeight="1" x14ac:dyDescent="0.25">
      <c r="A23" s="198" t="s">
        <v>205</v>
      </c>
      <c r="B23" s="42" t="s">
        <v>476</v>
      </c>
      <c r="C23" s="43">
        <v>40.24</v>
      </c>
      <c r="D23" s="43">
        <v>0.23738999999999999</v>
      </c>
      <c r="E23" s="44">
        <v>50</v>
      </c>
      <c r="F23" s="44">
        <v>0</v>
      </c>
      <c r="G23" s="44">
        <v>50</v>
      </c>
      <c r="H23" s="47">
        <v>0</v>
      </c>
      <c r="I23" s="45">
        <f t="shared" si="2"/>
        <v>1.242544731610338</v>
      </c>
      <c r="J23" s="45">
        <f t="shared" si="2"/>
        <v>0</v>
      </c>
      <c r="K23" s="45">
        <f t="shared" si="3"/>
        <v>1.242544731610338</v>
      </c>
      <c r="L23" s="45">
        <f t="shared" si="3"/>
        <v>0</v>
      </c>
    </row>
    <row r="24" spans="1:13" ht="30" customHeight="1" x14ac:dyDescent="0.25">
      <c r="A24" s="198" t="s">
        <v>327</v>
      </c>
      <c r="B24" s="46" t="s">
        <v>481</v>
      </c>
      <c r="C24" s="43">
        <f t="shared" ref="C24:H24" si="8">C25</f>
        <v>77.385000000000005</v>
      </c>
      <c r="D24" s="43">
        <f t="shared" si="8"/>
        <v>69.646500000000003</v>
      </c>
      <c r="E24" s="43">
        <f t="shared" si="8"/>
        <v>0</v>
      </c>
      <c r="F24" s="43">
        <f t="shared" si="8"/>
        <v>0</v>
      </c>
      <c r="G24" s="43">
        <f t="shared" si="8"/>
        <v>0</v>
      </c>
      <c r="H24" s="43">
        <f t="shared" si="8"/>
        <v>0</v>
      </c>
      <c r="I24" s="45">
        <f t="shared" si="2"/>
        <v>0</v>
      </c>
      <c r="J24" s="45">
        <f t="shared" si="2"/>
        <v>0</v>
      </c>
      <c r="K24" s="45"/>
      <c r="L24" s="45">
        <f t="shared" si="3"/>
        <v>0</v>
      </c>
    </row>
    <row r="25" spans="1:13" ht="18.75" customHeight="1" x14ac:dyDescent="0.25">
      <c r="A25" s="198" t="s">
        <v>222</v>
      </c>
      <c r="B25" s="42" t="s">
        <v>127</v>
      </c>
      <c r="C25" s="43">
        <v>77.385000000000005</v>
      </c>
      <c r="D25" s="43">
        <f>C25*0.9</f>
        <v>69.646500000000003</v>
      </c>
      <c r="E25" s="49"/>
      <c r="F25" s="44"/>
      <c r="G25" s="49"/>
      <c r="H25" s="47"/>
      <c r="I25" s="45">
        <f t="shared" si="2"/>
        <v>0</v>
      </c>
      <c r="J25" s="45">
        <f t="shared" si="2"/>
        <v>0</v>
      </c>
      <c r="K25" s="45"/>
      <c r="L25" s="45">
        <f t="shared" si="3"/>
        <v>0</v>
      </c>
    </row>
    <row r="26" spans="1:13" ht="27" customHeight="1" x14ac:dyDescent="0.25">
      <c r="A26" s="198" t="s">
        <v>329</v>
      </c>
      <c r="B26" s="42" t="s">
        <v>482</v>
      </c>
      <c r="C26" s="43">
        <f t="shared" ref="C26:H26" si="9">C27+C29+C30+C31+C36</f>
        <v>84789.372000000003</v>
      </c>
      <c r="D26" s="43">
        <f t="shared" si="9"/>
        <v>76336.959999999992</v>
      </c>
      <c r="E26" s="44">
        <f t="shared" si="9"/>
        <v>81640</v>
      </c>
      <c r="F26" s="44">
        <f t="shared" si="9"/>
        <v>69502</v>
      </c>
      <c r="G26" s="44">
        <f t="shared" si="9"/>
        <v>90640</v>
      </c>
      <c r="H26" s="47">
        <f t="shared" si="9"/>
        <v>77152</v>
      </c>
      <c r="I26" s="45">
        <f t="shared" si="2"/>
        <v>0.96285652404643352</v>
      </c>
      <c r="J26" s="45">
        <f t="shared" si="2"/>
        <v>0.91046329327235465</v>
      </c>
      <c r="K26" s="45">
        <f t="shared" si="3"/>
        <v>1.0690019027384705</v>
      </c>
      <c r="L26" s="45">
        <f t="shared" si="3"/>
        <v>1.0106768726446536</v>
      </c>
    </row>
    <row r="27" spans="1:13" ht="18.75" customHeight="1" x14ac:dyDescent="0.25">
      <c r="A27" s="198" t="s">
        <v>483</v>
      </c>
      <c r="B27" s="42" t="s">
        <v>127</v>
      </c>
      <c r="C27" s="43">
        <f>59500+24100</f>
        <v>83600</v>
      </c>
      <c r="D27" s="43">
        <f>C27*0.9</f>
        <v>75240</v>
      </c>
      <c r="E27" s="44">
        <v>80500</v>
      </c>
      <c r="F27" s="44">
        <v>68425</v>
      </c>
      <c r="G27" s="44">
        <v>89500</v>
      </c>
      <c r="H27" s="47">
        <v>76075</v>
      </c>
      <c r="I27" s="45">
        <f t="shared" si="2"/>
        <v>0.96291866028708128</v>
      </c>
      <c r="J27" s="45">
        <f t="shared" si="2"/>
        <v>0.90942317916002124</v>
      </c>
      <c r="K27" s="45">
        <f t="shared" si="3"/>
        <v>1.0705741626794258</v>
      </c>
      <c r="L27" s="45">
        <f t="shared" si="3"/>
        <v>1.0110978203083467</v>
      </c>
      <c r="M27" s="15"/>
    </row>
    <row r="28" spans="1:13" ht="31.5" customHeight="1" x14ac:dyDescent="0.25">
      <c r="A28" s="198"/>
      <c r="B28" s="42" t="s">
        <v>484</v>
      </c>
      <c r="C28" s="43">
        <v>59500</v>
      </c>
      <c r="D28" s="43">
        <f>C28*0.9</f>
        <v>53550</v>
      </c>
      <c r="E28" s="44">
        <v>59000</v>
      </c>
      <c r="F28" s="44">
        <v>50150</v>
      </c>
      <c r="G28" s="44">
        <v>59000</v>
      </c>
      <c r="H28" s="47">
        <v>50150</v>
      </c>
      <c r="I28" s="45">
        <f t="shared" si="2"/>
        <v>0.99159663865546221</v>
      </c>
      <c r="J28" s="45">
        <f t="shared" si="2"/>
        <v>0.93650793650793651</v>
      </c>
      <c r="K28" s="45">
        <f t="shared" si="3"/>
        <v>0.99159663865546221</v>
      </c>
      <c r="L28" s="45">
        <f t="shared" si="3"/>
        <v>0.93650793650793651</v>
      </c>
    </row>
    <row r="29" spans="1:13" ht="18.75" customHeight="1" x14ac:dyDescent="0.25">
      <c r="A29" s="198" t="s">
        <v>485</v>
      </c>
      <c r="B29" s="42" t="s">
        <v>486</v>
      </c>
      <c r="C29" s="43">
        <v>494.3</v>
      </c>
      <c r="D29" s="43">
        <f>C29*0.9</f>
        <v>444.87</v>
      </c>
      <c r="E29" s="44">
        <v>420</v>
      </c>
      <c r="F29" s="44">
        <v>357</v>
      </c>
      <c r="G29" s="44">
        <v>420</v>
      </c>
      <c r="H29" s="47">
        <v>357</v>
      </c>
      <c r="I29" s="45">
        <f t="shared" si="2"/>
        <v>0.84968642524782523</v>
      </c>
      <c r="J29" s="45">
        <f t="shared" si="2"/>
        <v>0.80248162384516819</v>
      </c>
      <c r="K29" s="45">
        <f t="shared" si="3"/>
        <v>0.84968642524782523</v>
      </c>
      <c r="L29" s="45">
        <f t="shared" si="3"/>
        <v>0.80248162384516819</v>
      </c>
    </row>
    <row r="30" spans="1:13" ht="18.75" customHeight="1" x14ac:dyDescent="0.25">
      <c r="A30" s="198" t="s">
        <v>487</v>
      </c>
      <c r="B30" s="42" t="s">
        <v>488</v>
      </c>
      <c r="C30" s="43">
        <v>40</v>
      </c>
      <c r="D30" s="43">
        <v>40</v>
      </c>
      <c r="E30" s="44">
        <v>40</v>
      </c>
      <c r="F30" s="44">
        <f>E30</f>
        <v>40</v>
      </c>
      <c r="G30" s="44">
        <v>40</v>
      </c>
      <c r="H30" s="47">
        <f>G30</f>
        <v>40</v>
      </c>
      <c r="I30" s="45">
        <f t="shared" si="2"/>
        <v>1</v>
      </c>
      <c r="J30" s="45">
        <f t="shared" si="2"/>
        <v>1</v>
      </c>
      <c r="K30" s="45">
        <f t="shared" si="3"/>
        <v>1</v>
      </c>
      <c r="L30" s="45">
        <f t="shared" si="3"/>
        <v>1</v>
      </c>
    </row>
    <row r="31" spans="1:13" ht="18.75" customHeight="1" x14ac:dyDescent="0.25">
      <c r="A31" s="198" t="s">
        <v>489</v>
      </c>
      <c r="B31" s="42" t="s">
        <v>475</v>
      </c>
      <c r="C31" s="43">
        <f t="shared" ref="C31:D31" si="10">SUM(C32:C35)</f>
        <v>655.072</v>
      </c>
      <c r="D31" s="43">
        <f t="shared" si="10"/>
        <v>612.09</v>
      </c>
      <c r="E31" s="44">
        <f>SUM(E32:E35)</f>
        <v>680</v>
      </c>
      <c r="F31" s="44">
        <f>SUM(F32:F35)</f>
        <v>680</v>
      </c>
      <c r="G31" s="44">
        <f>SUM(G32:G35)</f>
        <v>680</v>
      </c>
      <c r="H31" s="47">
        <f>SUM(H32:H35)</f>
        <v>680</v>
      </c>
      <c r="I31" s="45">
        <f t="shared" si="2"/>
        <v>1.0380538322505006</v>
      </c>
      <c r="J31" s="45">
        <f t="shared" si="2"/>
        <v>1.110947736443987</v>
      </c>
      <c r="K31" s="45">
        <f t="shared" si="3"/>
        <v>1.0380538322505006</v>
      </c>
      <c r="L31" s="45">
        <f t="shared" si="3"/>
        <v>1.110947736443987</v>
      </c>
    </row>
    <row r="32" spans="1:13" ht="18.75" hidden="1" customHeight="1" x14ac:dyDescent="0.25">
      <c r="A32" s="198" t="s">
        <v>205</v>
      </c>
      <c r="B32" s="42" t="s">
        <v>490</v>
      </c>
      <c r="C32" s="43"/>
      <c r="D32" s="43"/>
      <c r="E32" s="44"/>
      <c r="F32" s="44"/>
      <c r="G32" s="44"/>
      <c r="H32" s="47"/>
      <c r="I32" s="45" t="e">
        <f t="shared" si="2"/>
        <v>#DIV/0!</v>
      </c>
      <c r="J32" s="45" t="e">
        <f t="shared" si="2"/>
        <v>#DIV/0!</v>
      </c>
      <c r="K32" s="45" t="e">
        <f t="shared" si="3"/>
        <v>#DIV/0!</v>
      </c>
      <c r="L32" s="45" t="e">
        <f t="shared" si="3"/>
        <v>#DIV/0!</v>
      </c>
    </row>
    <row r="33" spans="1:12" ht="18.75" customHeight="1" x14ac:dyDescent="0.25">
      <c r="A33" s="198" t="s">
        <v>205</v>
      </c>
      <c r="B33" s="42" t="s">
        <v>477</v>
      </c>
      <c r="C33" s="43">
        <v>655.072</v>
      </c>
      <c r="D33" s="43">
        <v>612.09</v>
      </c>
      <c r="E33" s="44">
        <v>680</v>
      </c>
      <c r="F33" s="44">
        <f>E33</f>
        <v>680</v>
      </c>
      <c r="G33" s="44">
        <v>680</v>
      </c>
      <c r="H33" s="47">
        <f>G33</f>
        <v>680</v>
      </c>
      <c r="I33" s="45">
        <f t="shared" si="2"/>
        <v>1.0380538322505006</v>
      </c>
      <c r="J33" s="45">
        <f t="shared" si="2"/>
        <v>1.110947736443987</v>
      </c>
      <c r="K33" s="45">
        <f t="shared" si="3"/>
        <v>1.0380538322505006</v>
      </c>
      <c r="L33" s="45">
        <f t="shared" si="3"/>
        <v>1.110947736443987</v>
      </c>
    </row>
    <row r="34" spans="1:12" ht="18.75" hidden="1" customHeight="1" x14ac:dyDescent="0.25">
      <c r="A34" s="198" t="s">
        <v>205</v>
      </c>
      <c r="B34" s="42" t="s">
        <v>476</v>
      </c>
      <c r="C34" s="43"/>
      <c r="D34" s="43"/>
      <c r="E34" s="44"/>
      <c r="F34" s="44"/>
      <c r="G34" s="44"/>
      <c r="H34" s="47"/>
      <c r="I34" s="45" t="e">
        <f t="shared" si="2"/>
        <v>#DIV/0!</v>
      </c>
      <c r="J34" s="45" t="e">
        <f t="shared" si="2"/>
        <v>#DIV/0!</v>
      </c>
      <c r="K34" s="45" t="e">
        <f t="shared" si="3"/>
        <v>#DIV/0!</v>
      </c>
      <c r="L34" s="45" t="e">
        <f t="shared" si="3"/>
        <v>#DIV/0!</v>
      </c>
    </row>
    <row r="35" spans="1:12" ht="18.75" hidden="1" customHeight="1" x14ac:dyDescent="0.25">
      <c r="A35" s="198" t="s">
        <v>205</v>
      </c>
      <c r="B35" s="42" t="s">
        <v>491</v>
      </c>
      <c r="C35" s="43"/>
      <c r="D35" s="43"/>
      <c r="E35" s="44"/>
      <c r="F35" s="44"/>
      <c r="G35" s="44"/>
      <c r="H35" s="47"/>
      <c r="I35" s="45" t="e">
        <f t="shared" si="2"/>
        <v>#DIV/0!</v>
      </c>
      <c r="J35" s="45" t="e">
        <f t="shared" si="2"/>
        <v>#DIV/0!</v>
      </c>
      <c r="K35" s="45" t="e">
        <f t="shared" si="3"/>
        <v>#DIV/0!</v>
      </c>
      <c r="L35" s="45" t="e">
        <f t="shared" si="3"/>
        <v>#DIV/0!</v>
      </c>
    </row>
    <row r="36" spans="1:12" ht="18.75" hidden="1" customHeight="1" x14ac:dyDescent="0.25">
      <c r="A36" s="198" t="s">
        <v>492</v>
      </c>
      <c r="B36" s="42" t="s">
        <v>493</v>
      </c>
      <c r="C36" s="43"/>
      <c r="D36" s="43"/>
      <c r="E36" s="44"/>
      <c r="F36" s="44"/>
      <c r="G36" s="44"/>
      <c r="H36" s="47"/>
      <c r="I36" s="45" t="e">
        <f t="shared" si="2"/>
        <v>#DIV/0!</v>
      </c>
      <c r="J36" s="45" t="e">
        <f t="shared" si="2"/>
        <v>#DIV/0!</v>
      </c>
      <c r="K36" s="45" t="e">
        <f t="shared" si="3"/>
        <v>#DIV/0!</v>
      </c>
      <c r="L36" s="45" t="e">
        <f t="shared" si="3"/>
        <v>#DIV/0!</v>
      </c>
    </row>
    <row r="37" spans="1:12" ht="17.25" customHeight="1" x14ac:dyDescent="0.25">
      <c r="A37" s="198" t="s">
        <v>331</v>
      </c>
      <c r="B37" s="42" t="s">
        <v>494</v>
      </c>
      <c r="C37" s="43">
        <v>4500</v>
      </c>
      <c r="D37" s="43">
        <f>C37</f>
        <v>4500</v>
      </c>
      <c r="E37" s="44">
        <v>4500</v>
      </c>
      <c r="F37" s="44">
        <f>E37</f>
        <v>4500</v>
      </c>
      <c r="G37" s="44">
        <v>4500</v>
      </c>
      <c r="H37" s="47">
        <f>G37</f>
        <v>4500</v>
      </c>
      <c r="I37" s="45">
        <f t="shared" si="2"/>
        <v>1</v>
      </c>
      <c r="J37" s="45">
        <f t="shared" si="2"/>
        <v>1</v>
      </c>
      <c r="K37" s="45">
        <f t="shared" si="3"/>
        <v>1</v>
      </c>
      <c r="L37" s="45">
        <f t="shared" si="3"/>
        <v>1</v>
      </c>
    </row>
    <row r="38" spans="1:12" ht="17.25" customHeight="1" x14ac:dyDescent="0.25">
      <c r="A38" s="198" t="s">
        <v>332</v>
      </c>
      <c r="B38" s="42" t="s">
        <v>495</v>
      </c>
      <c r="C38" s="43"/>
      <c r="D38" s="43"/>
      <c r="E38" s="44"/>
      <c r="F38" s="44"/>
      <c r="G38" s="44"/>
      <c r="H38" s="47"/>
      <c r="I38" s="45"/>
      <c r="J38" s="45"/>
      <c r="K38" s="45"/>
      <c r="L38" s="45"/>
    </row>
    <row r="39" spans="1:12" ht="17.25" customHeight="1" x14ac:dyDescent="0.25">
      <c r="A39" s="198" t="s">
        <v>333</v>
      </c>
      <c r="B39" s="42" t="s">
        <v>496</v>
      </c>
      <c r="C39" s="43">
        <v>19.239999999999998</v>
      </c>
      <c r="D39" s="43">
        <f>C39</f>
        <v>19.239999999999998</v>
      </c>
      <c r="E39" s="44">
        <v>30</v>
      </c>
      <c r="F39" s="44">
        <v>30</v>
      </c>
      <c r="G39" s="44">
        <v>30</v>
      </c>
      <c r="H39" s="47">
        <v>30</v>
      </c>
      <c r="I39" s="45">
        <f t="shared" si="2"/>
        <v>1.5592515592515594</v>
      </c>
      <c r="J39" s="45">
        <f t="shared" si="2"/>
        <v>1.5592515592515594</v>
      </c>
      <c r="K39" s="45">
        <f t="shared" si="3"/>
        <v>1.5592515592515594</v>
      </c>
      <c r="L39" s="45">
        <f t="shared" si="3"/>
        <v>1.5592515592515594</v>
      </c>
    </row>
    <row r="40" spans="1:12" ht="17.25" customHeight="1" x14ac:dyDescent="0.25">
      <c r="A40" s="198" t="s">
        <v>334</v>
      </c>
      <c r="B40" s="42" t="s">
        <v>497</v>
      </c>
      <c r="C40" s="43">
        <v>5500</v>
      </c>
      <c r="D40" s="43">
        <f>C40*0.9</f>
        <v>4950</v>
      </c>
      <c r="E40" s="44">
        <v>5300</v>
      </c>
      <c r="F40" s="44">
        <v>4770</v>
      </c>
      <c r="G40" s="44">
        <v>5300</v>
      </c>
      <c r="H40" s="47">
        <v>4770</v>
      </c>
      <c r="I40" s="45">
        <f t="shared" si="2"/>
        <v>0.96363636363636362</v>
      </c>
      <c r="J40" s="45">
        <f t="shared" si="2"/>
        <v>0.96363636363636362</v>
      </c>
      <c r="K40" s="45">
        <f t="shared" si="3"/>
        <v>0.96363636363636362</v>
      </c>
      <c r="L40" s="45">
        <f t="shared" si="3"/>
        <v>0.96363636363636362</v>
      </c>
    </row>
    <row r="41" spans="1:12" ht="17.25" customHeight="1" x14ac:dyDescent="0.25">
      <c r="A41" s="198" t="s">
        <v>335</v>
      </c>
      <c r="B41" s="42" t="s">
        <v>498</v>
      </c>
      <c r="C41" s="43">
        <f>SUM(C42:C43)</f>
        <v>0</v>
      </c>
      <c r="D41" s="43">
        <f>SUM(D42:D43)</f>
        <v>0</v>
      </c>
      <c r="E41" s="44">
        <f t="shared" ref="E41:H41" si="11">SUM(E42:E43)</f>
        <v>0</v>
      </c>
      <c r="F41" s="44">
        <f t="shared" si="11"/>
        <v>0</v>
      </c>
      <c r="G41" s="44">
        <f t="shared" si="11"/>
        <v>0</v>
      </c>
      <c r="H41" s="47">
        <f t="shared" si="11"/>
        <v>0</v>
      </c>
      <c r="I41" s="45"/>
      <c r="J41" s="45"/>
      <c r="K41" s="45"/>
      <c r="L41" s="45"/>
    </row>
    <row r="42" spans="1:12" ht="17.25" hidden="1" customHeight="1" x14ac:dyDescent="0.25">
      <c r="A42" s="198" t="s">
        <v>23</v>
      </c>
      <c r="B42" s="42" t="s">
        <v>499</v>
      </c>
      <c r="C42" s="43"/>
      <c r="D42" s="43"/>
      <c r="E42" s="44"/>
      <c r="F42" s="44"/>
      <c r="G42" s="44"/>
      <c r="H42" s="47"/>
      <c r="I42" s="45" t="e">
        <f t="shared" si="2"/>
        <v>#DIV/0!</v>
      </c>
      <c r="J42" s="45" t="e">
        <f t="shared" si="2"/>
        <v>#DIV/0!</v>
      </c>
      <c r="K42" s="45" t="e">
        <f t="shared" si="3"/>
        <v>#DIV/0!</v>
      </c>
      <c r="L42" s="45" t="e">
        <f t="shared" si="3"/>
        <v>#DIV/0!</v>
      </c>
    </row>
    <row r="43" spans="1:12" ht="17.25" hidden="1" customHeight="1" x14ac:dyDescent="0.25">
      <c r="A43" s="198" t="s">
        <v>23</v>
      </c>
      <c r="B43" s="42" t="s">
        <v>500</v>
      </c>
      <c r="C43" s="43"/>
      <c r="D43" s="43"/>
      <c r="E43" s="44"/>
      <c r="F43" s="44"/>
      <c r="G43" s="44"/>
      <c r="H43" s="47"/>
      <c r="I43" s="45" t="e">
        <f t="shared" si="2"/>
        <v>#DIV/0!</v>
      </c>
      <c r="J43" s="45" t="e">
        <f t="shared" si="2"/>
        <v>#DIV/0!</v>
      </c>
      <c r="K43" s="45" t="e">
        <f t="shared" si="3"/>
        <v>#DIV/0!</v>
      </c>
      <c r="L43" s="45" t="e">
        <f t="shared" si="3"/>
        <v>#DIV/0!</v>
      </c>
    </row>
    <row r="44" spans="1:12" ht="17.25" customHeight="1" x14ac:dyDescent="0.25">
      <c r="A44" s="198" t="s">
        <v>336</v>
      </c>
      <c r="B44" s="42" t="s">
        <v>501</v>
      </c>
      <c r="C44" s="43">
        <f>C45+C46</f>
        <v>1250</v>
      </c>
      <c r="D44" s="43">
        <f>D45+D46</f>
        <v>1150</v>
      </c>
      <c r="E44" s="44">
        <f t="shared" ref="E44:H44" si="12">E45+E46</f>
        <v>1350</v>
      </c>
      <c r="F44" s="44">
        <f t="shared" si="12"/>
        <v>1350</v>
      </c>
      <c r="G44" s="44">
        <f t="shared" si="12"/>
        <v>1350</v>
      </c>
      <c r="H44" s="47">
        <f t="shared" si="12"/>
        <v>1350</v>
      </c>
      <c r="I44" s="45">
        <f t="shared" si="2"/>
        <v>1.08</v>
      </c>
      <c r="J44" s="45">
        <f t="shared" si="2"/>
        <v>1.173913043478261</v>
      </c>
      <c r="K44" s="45">
        <f t="shared" si="3"/>
        <v>1.08</v>
      </c>
      <c r="L44" s="45">
        <f t="shared" si="3"/>
        <v>1.173913043478261</v>
      </c>
    </row>
    <row r="45" spans="1:12" ht="20.25" customHeight="1" x14ac:dyDescent="0.25">
      <c r="A45" s="198" t="s">
        <v>159</v>
      </c>
      <c r="B45" s="42" t="s">
        <v>502</v>
      </c>
      <c r="C45" s="43">
        <v>106</v>
      </c>
      <c r="D45" s="43">
        <v>6</v>
      </c>
      <c r="E45" s="44"/>
      <c r="F45" s="44"/>
      <c r="G45" s="44"/>
      <c r="H45" s="47"/>
      <c r="I45" s="45">
        <f t="shared" si="2"/>
        <v>0</v>
      </c>
      <c r="J45" s="45">
        <f t="shared" si="2"/>
        <v>0</v>
      </c>
      <c r="K45" s="45">
        <f t="shared" si="3"/>
        <v>0</v>
      </c>
      <c r="L45" s="45">
        <f t="shared" si="3"/>
        <v>0</v>
      </c>
    </row>
    <row r="46" spans="1:12" ht="18.75" customHeight="1" x14ac:dyDescent="0.25">
      <c r="A46" s="198" t="s">
        <v>160</v>
      </c>
      <c r="B46" s="42" t="s">
        <v>503</v>
      </c>
      <c r="C46" s="43">
        <f>SUM(C47:C49)</f>
        <v>1144</v>
      </c>
      <c r="D46" s="43">
        <f>SUM(D47:D49)</f>
        <v>1144</v>
      </c>
      <c r="E46" s="44">
        <f t="shared" ref="E46:H46" si="13">SUM(E47:E49)</f>
        <v>1350</v>
      </c>
      <c r="F46" s="44">
        <f t="shared" si="13"/>
        <v>1350</v>
      </c>
      <c r="G46" s="44">
        <f t="shared" si="13"/>
        <v>1350</v>
      </c>
      <c r="H46" s="47">
        <f t="shared" si="13"/>
        <v>1350</v>
      </c>
      <c r="I46" s="45">
        <f t="shared" si="2"/>
        <v>1.18006993006993</v>
      </c>
      <c r="J46" s="45">
        <f t="shared" si="2"/>
        <v>1.18006993006993</v>
      </c>
      <c r="K46" s="45">
        <f t="shared" si="3"/>
        <v>1.18006993006993</v>
      </c>
      <c r="L46" s="45">
        <f t="shared" si="3"/>
        <v>1.18006993006993</v>
      </c>
    </row>
    <row r="47" spans="1:12" ht="31.5" customHeight="1" x14ac:dyDescent="0.25">
      <c r="A47" s="198" t="s">
        <v>23</v>
      </c>
      <c r="B47" s="42" t="s">
        <v>504</v>
      </c>
      <c r="C47" s="43">
        <v>300</v>
      </c>
      <c r="D47" s="43">
        <f>C47</f>
        <v>300</v>
      </c>
      <c r="E47" s="44">
        <v>300</v>
      </c>
      <c r="F47" s="44">
        <v>300</v>
      </c>
      <c r="G47" s="44">
        <v>300</v>
      </c>
      <c r="H47" s="47">
        <v>300</v>
      </c>
      <c r="I47" s="45">
        <f t="shared" si="2"/>
        <v>1</v>
      </c>
      <c r="J47" s="45">
        <f t="shared" si="2"/>
        <v>1</v>
      </c>
      <c r="K47" s="45">
        <f t="shared" si="3"/>
        <v>1</v>
      </c>
      <c r="L47" s="45">
        <f t="shared" si="3"/>
        <v>1</v>
      </c>
    </row>
    <row r="48" spans="1:12" ht="17.25" customHeight="1" x14ac:dyDescent="0.25">
      <c r="A48" s="198" t="s">
        <v>23</v>
      </c>
      <c r="B48" s="42" t="s">
        <v>505</v>
      </c>
      <c r="C48" s="43">
        <f>290+50</f>
        <v>340</v>
      </c>
      <c r="D48" s="43">
        <f>C48</f>
        <v>340</v>
      </c>
      <c r="E48" s="44">
        <f>290+50</f>
        <v>340</v>
      </c>
      <c r="F48" s="44">
        <f>E48</f>
        <v>340</v>
      </c>
      <c r="G48" s="44">
        <f>290+50</f>
        <v>340</v>
      </c>
      <c r="H48" s="47">
        <f>G48</f>
        <v>340</v>
      </c>
      <c r="I48" s="45">
        <f t="shared" si="2"/>
        <v>1</v>
      </c>
      <c r="J48" s="45">
        <f t="shared" si="2"/>
        <v>1</v>
      </c>
      <c r="K48" s="45">
        <f t="shared" si="3"/>
        <v>1</v>
      </c>
      <c r="L48" s="45">
        <f t="shared" si="3"/>
        <v>1</v>
      </c>
    </row>
    <row r="49" spans="1:14" ht="17.25" customHeight="1" x14ac:dyDescent="0.25">
      <c r="A49" s="198" t="s">
        <v>23</v>
      </c>
      <c r="B49" s="42" t="s">
        <v>506</v>
      </c>
      <c r="C49" s="43">
        <v>504</v>
      </c>
      <c r="D49" s="43">
        <f>C49</f>
        <v>504</v>
      </c>
      <c r="E49" s="44">
        <v>710</v>
      </c>
      <c r="F49" s="44">
        <f>E49</f>
        <v>710</v>
      </c>
      <c r="G49" s="44">
        <v>710</v>
      </c>
      <c r="H49" s="47">
        <f>G49</f>
        <v>710</v>
      </c>
      <c r="I49" s="45">
        <f t="shared" si="2"/>
        <v>1.4087301587301588</v>
      </c>
      <c r="J49" s="45">
        <f t="shared" si="2"/>
        <v>1.4087301587301588</v>
      </c>
      <c r="K49" s="45">
        <f t="shared" si="3"/>
        <v>1.4087301587301588</v>
      </c>
      <c r="L49" s="45">
        <f t="shared" si="3"/>
        <v>1.4087301587301588</v>
      </c>
    </row>
    <row r="50" spans="1:14" ht="29.25" hidden="1" customHeight="1" x14ac:dyDescent="0.25">
      <c r="A50" s="198"/>
      <c r="B50" s="42" t="s">
        <v>507</v>
      </c>
      <c r="C50" s="43"/>
      <c r="D50" s="43"/>
      <c r="E50" s="44"/>
      <c r="F50" s="44"/>
      <c r="G50" s="44"/>
      <c r="H50" s="47"/>
      <c r="I50" s="45" t="e">
        <f t="shared" si="2"/>
        <v>#DIV/0!</v>
      </c>
      <c r="J50" s="45" t="e">
        <f t="shared" si="2"/>
        <v>#DIV/0!</v>
      </c>
      <c r="K50" s="45" t="e">
        <f t="shared" si="3"/>
        <v>#DIV/0!</v>
      </c>
      <c r="L50" s="45" t="e">
        <f t="shared" si="3"/>
        <v>#DIV/0!</v>
      </c>
    </row>
    <row r="51" spans="1:14" ht="17.25" customHeight="1" x14ac:dyDescent="0.25">
      <c r="A51" s="198" t="s">
        <v>337</v>
      </c>
      <c r="B51" s="42" t="s">
        <v>508</v>
      </c>
      <c r="C51" s="43">
        <f>SUM(C52:C53)</f>
        <v>31692.38</v>
      </c>
      <c r="D51" s="43">
        <f>SUM(D52:D53)</f>
        <v>27889.279999999999</v>
      </c>
      <c r="E51" s="44">
        <f t="shared" ref="E51:H51" si="14">SUM(E52:E53)</f>
        <v>12000</v>
      </c>
      <c r="F51" s="44">
        <f t="shared" si="14"/>
        <v>10560</v>
      </c>
      <c r="G51" s="44">
        <f t="shared" si="14"/>
        <v>101400</v>
      </c>
      <c r="H51" s="44">
        <f t="shared" si="14"/>
        <v>89232</v>
      </c>
      <c r="I51" s="45">
        <f t="shared" si="2"/>
        <v>0.37863991281184939</v>
      </c>
      <c r="J51" s="45">
        <f t="shared" si="2"/>
        <v>0.3786401083140189</v>
      </c>
      <c r="K51" s="45">
        <f t="shared" si="3"/>
        <v>3.1995072632601276</v>
      </c>
      <c r="L51" s="45">
        <f t="shared" si="3"/>
        <v>3.1995089152534595</v>
      </c>
      <c r="N51" s="15"/>
    </row>
    <row r="52" spans="1:14" ht="17.25" customHeight="1" x14ac:dyDescent="0.25">
      <c r="A52" s="198" t="s">
        <v>23</v>
      </c>
      <c r="B52" s="42" t="s">
        <v>509</v>
      </c>
      <c r="C52" s="43"/>
      <c r="D52" s="43"/>
      <c r="E52" s="44"/>
      <c r="F52" s="44"/>
      <c r="G52" s="44"/>
      <c r="H52" s="44"/>
      <c r="I52" s="45"/>
      <c r="J52" s="45"/>
      <c r="K52" s="45"/>
      <c r="L52" s="45"/>
    </row>
    <row r="53" spans="1:14" ht="17.25" customHeight="1" x14ac:dyDescent="0.25">
      <c r="A53" s="198" t="s">
        <v>23</v>
      </c>
      <c r="B53" s="42" t="s">
        <v>510</v>
      </c>
      <c r="C53" s="43">
        <v>31692.38</v>
      </c>
      <c r="D53" s="43">
        <v>27889.279999999999</v>
      </c>
      <c r="E53" s="44">
        <v>12000</v>
      </c>
      <c r="F53" s="44">
        <v>10560</v>
      </c>
      <c r="G53" s="44">
        <v>101400</v>
      </c>
      <c r="H53" s="44">
        <v>89232</v>
      </c>
      <c r="I53" s="45">
        <f t="shared" si="2"/>
        <v>0.37863991281184939</v>
      </c>
      <c r="J53" s="45">
        <f t="shared" si="2"/>
        <v>0.3786401083140189</v>
      </c>
      <c r="K53" s="45">
        <f t="shared" si="3"/>
        <v>3.1995072632601276</v>
      </c>
      <c r="L53" s="45">
        <f t="shared" si="3"/>
        <v>3.1995089152534595</v>
      </c>
      <c r="M53" s="15"/>
    </row>
    <row r="54" spans="1:14" ht="22.5" customHeight="1" x14ac:dyDescent="0.25">
      <c r="A54" s="198" t="s">
        <v>341</v>
      </c>
      <c r="B54" s="46" t="s">
        <v>511</v>
      </c>
      <c r="C54" s="43">
        <v>1760</v>
      </c>
      <c r="D54" s="43">
        <f>C54*0.8</f>
        <v>1408</v>
      </c>
      <c r="E54" s="44">
        <v>2350</v>
      </c>
      <c r="F54" s="44">
        <v>1880</v>
      </c>
      <c r="G54" s="44">
        <v>2350</v>
      </c>
      <c r="H54" s="44">
        <v>1880</v>
      </c>
      <c r="I54" s="45">
        <f t="shared" si="2"/>
        <v>1.3352272727272727</v>
      </c>
      <c r="J54" s="45">
        <f t="shared" si="2"/>
        <v>1.3352272727272727</v>
      </c>
      <c r="K54" s="45">
        <f t="shared" si="3"/>
        <v>1.3352272727272727</v>
      </c>
      <c r="L54" s="45">
        <f t="shared" si="3"/>
        <v>1.3352272727272727</v>
      </c>
    </row>
    <row r="55" spans="1:14" ht="24.75" hidden="1" customHeight="1" x14ac:dyDescent="0.25">
      <c r="A55" s="198" t="s">
        <v>342</v>
      </c>
      <c r="B55" s="42" t="s">
        <v>512</v>
      </c>
      <c r="C55" s="43">
        <f>SUM(C56:C57)</f>
        <v>0</v>
      </c>
      <c r="D55" s="43">
        <f>SUM(D56:D57)</f>
        <v>0</v>
      </c>
      <c r="E55" s="44">
        <f t="shared" ref="E55:H55" si="15">SUM(E56:E57)</f>
        <v>0</v>
      </c>
      <c r="F55" s="44">
        <f t="shared" si="15"/>
        <v>0</v>
      </c>
      <c r="G55" s="44">
        <f t="shared" si="15"/>
        <v>0</v>
      </c>
      <c r="H55" s="44">
        <f t="shared" si="15"/>
        <v>0</v>
      </c>
      <c r="I55" s="45" t="e">
        <f t="shared" si="2"/>
        <v>#DIV/0!</v>
      </c>
      <c r="J55" s="45" t="e">
        <f t="shared" si="2"/>
        <v>#DIV/0!</v>
      </c>
      <c r="K55" s="45" t="e">
        <f t="shared" si="3"/>
        <v>#DIV/0!</v>
      </c>
      <c r="L55" s="45" t="e">
        <f t="shared" si="3"/>
        <v>#DIV/0!</v>
      </c>
    </row>
    <row r="56" spans="1:14" ht="12.75" hidden="1" customHeight="1" x14ac:dyDescent="0.25">
      <c r="A56" s="198"/>
      <c r="B56" s="42" t="s">
        <v>513</v>
      </c>
      <c r="C56" s="43"/>
      <c r="D56" s="43"/>
      <c r="E56" s="44"/>
      <c r="F56" s="44"/>
      <c r="G56" s="44"/>
      <c r="H56" s="44"/>
      <c r="I56" s="45" t="e">
        <f t="shared" si="2"/>
        <v>#DIV/0!</v>
      </c>
      <c r="J56" s="45" t="e">
        <f t="shared" si="2"/>
        <v>#DIV/0!</v>
      </c>
      <c r="K56" s="45" t="e">
        <f t="shared" si="3"/>
        <v>#DIV/0!</v>
      </c>
      <c r="L56" s="45" t="e">
        <f t="shared" si="3"/>
        <v>#DIV/0!</v>
      </c>
    </row>
    <row r="57" spans="1:14" ht="11.25" hidden="1" customHeight="1" x14ac:dyDescent="0.25">
      <c r="A57" s="198"/>
      <c r="B57" s="42" t="s">
        <v>514</v>
      </c>
      <c r="C57" s="43"/>
      <c r="D57" s="43"/>
      <c r="E57" s="44"/>
      <c r="F57" s="44"/>
      <c r="G57" s="44"/>
      <c r="H57" s="44"/>
      <c r="I57" s="45" t="e">
        <f t="shared" si="2"/>
        <v>#DIV/0!</v>
      </c>
      <c r="J57" s="45" t="e">
        <f t="shared" si="2"/>
        <v>#DIV/0!</v>
      </c>
      <c r="K57" s="45" t="e">
        <f t="shared" si="3"/>
        <v>#DIV/0!</v>
      </c>
      <c r="L57" s="45" t="e">
        <f t="shared" si="3"/>
        <v>#DIV/0!</v>
      </c>
    </row>
    <row r="58" spans="1:14" ht="36" hidden="1" customHeight="1" x14ac:dyDescent="0.25">
      <c r="A58" s="198" t="s">
        <v>343</v>
      </c>
      <c r="B58" s="42" t="s">
        <v>515</v>
      </c>
      <c r="C58" s="43">
        <f>SUM(C59:C60)</f>
        <v>0</v>
      </c>
      <c r="D58" s="43">
        <f>SUM(D59:D60)</f>
        <v>0</v>
      </c>
      <c r="E58" s="44">
        <f t="shared" ref="E58:H58" si="16">SUM(E59:E60)</f>
        <v>0</v>
      </c>
      <c r="F58" s="44">
        <f t="shared" si="16"/>
        <v>0</v>
      </c>
      <c r="G58" s="44">
        <f t="shared" si="16"/>
        <v>0</v>
      </c>
      <c r="H58" s="44">
        <f t="shared" si="16"/>
        <v>0</v>
      </c>
      <c r="I58" s="45" t="e">
        <f t="shared" si="2"/>
        <v>#DIV/0!</v>
      </c>
      <c r="J58" s="45" t="e">
        <f t="shared" si="2"/>
        <v>#DIV/0!</v>
      </c>
      <c r="K58" s="45" t="e">
        <f t="shared" si="3"/>
        <v>#DIV/0!</v>
      </c>
      <c r="L58" s="45" t="e">
        <f t="shared" si="3"/>
        <v>#DIV/0!</v>
      </c>
    </row>
    <row r="59" spans="1:14" ht="15" hidden="1" customHeight="1" x14ac:dyDescent="0.25">
      <c r="A59" s="198"/>
      <c r="B59" s="42" t="s">
        <v>516</v>
      </c>
      <c r="C59" s="43"/>
      <c r="D59" s="43"/>
      <c r="E59" s="44"/>
      <c r="F59" s="44"/>
      <c r="G59" s="44"/>
      <c r="H59" s="44"/>
      <c r="I59" s="45" t="e">
        <f t="shared" si="2"/>
        <v>#DIV/0!</v>
      </c>
      <c r="J59" s="45" t="e">
        <f t="shared" si="2"/>
        <v>#DIV/0!</v>
      </c>
      <c r="K59" s="45" t="e">
        <f t="shared" si="3"/>
        <v>#DIV/0!</v>
      </c>
      <c r="L59" s="45" t="e">
        <f t="shared" si="3"/>
        <v>#DIV/0!</v>
      </c>
    </row>
    <row r="60" spans="1:14" ht="14.25" hidden="1" customHeight="1" x14ac:dyDescent="0.25">
      <c r="A60" s="198"/>
      <c r="B60" s="42" t="s">
        <v>517</v>
      </c>
      <c r="C60" s="43"/>
      <c r="D60" s="43"/>
      <c r="E60" s="44"/>
      <c r="F60" s="44"/>
      <c r="G60" s="44"/>
      <c r="H60" s="44"/>
      <c r="I60" s="45" t="e">
        <f t="shared" ref="I60:J74" si="17">E60/C60</f>
        <v>#DIV/0!</v>
      </c>
      <c r="J60" s="45" t="e">
        <f t="shared" si="17"/>
        <v>#DIV/0!</v>
      </c>
      <c r="K60" s="45" t="e">
        <f t="shared" ref="K60:L74" si="18">G60/C60</f>
        <v>#DIV/0!</v>
      </c>
      <c r="L60" s="45" t="e">
        <f t="shared" si="18"/>
        <v>#DIV/0!</v>
      </c>
    </row>
    <row r="61" spans="1:14" ht="33" hidden="1" customHeight="1" x14ac:dyDescent="0.25">
      <c r="A61" s="198" t="s">
        <v>344</v>
      </c>
      <c r="B61" s="42" t="s">
        <v>518</v>
      </c>
      <c r="C61" s="43"/>
      <c r="D61" s="43"/>
      <c r="E61" s="44"/>
      <c r="F61" s="44"/>
      <c r="G61" s="44"/>
      <c r="H61" s="44"/>
      <c r="I61" s="45" t="e">
        <f t="shared" si="17"/>
        <v>#DIV/0!</v>
      </c>
      <c r="J61" s="45" t="e">
        <f t="shared" si="17"/>
        <v>#DIV/0!</v>
      </c>
      <c r="K61" s="45" t="e">
        <f t="shared" si="18"/>
        <v>#DIV/0!</v>
      </c>
      <c r="L61" s="45" t="e">
        <f t="shared" si="18"/>
        <v>#DIV/0!</v>
      </c>
    </row>
    <row r="62" spans="1:14" ht="18.75" customHeight="1" x14ac:dyDescent="0.25">
      <c r="A62" s="198" t="s">
        <v>342</v>
      </c>
      <c r="B62" s="42" t="s">
        <v>519</v>
      </c>
      <c r="C62" s="43">
        <f>C63+C70+C71</f>
        <v>1424.16</v>
      </c>
      <c r="D62" s="43">
        <f>D63+D70+D71</f>
        <v>471.57</v>
      </c>
      <c r="E62" s="44">
        <f t="shared" ref="E62:H62" si="19">E63+E70+E71</f>
        <v>1420</v>
      </c>
      <c r="F62" s="44">
        <f t="shared" si="19"/>
        <v>830</v>
      </c>
      <c r="G62" s="44">
        <f t="shared" si="19"/>
        <v>1420</v>
      </c>
      <c r="H62" s="44">
        <f t="shared" si="19"/>
        <v>830</v>
      </c>
      <c r="I62" s="45">
        <f t="shared" si="17"/>
        <v>0.99707897988989991</v>
      </c>
      <c r="J62" s="45">
        <f t="shared" si="17"/>
        <v>1.7600780371949021</v>
      </c>
      <c r="K62" s="45">
        <f t="shared" si="18"/>
        <v>0.99707897988989991</v>
      </c>
      <c r="L62" s="45">
        <f t="shared" si="18"/>
        <v>1.7600780371949021</v>
      </c>
    </row>
    <row r="63" spans="1:14" ht="18.75" customHeight="1" x14ac:dyDescent="0.25">
      <c r="A63" s="198" t="s">
        <v>520</v>
      </c>
      <c r="B63" s="42" t="s">
        <v>521</v>
      </c>
      <c r="C63" s="43">
        <f>C64+C67</f>
        <v>920.37</v>
      </c>
      <c r="D63" s="43">
        <f>D64+D67</f>
        <v>74</v>
      </c>
      <c r="E63" s="44">
        <f t="shared" ref="E63:H63" si="20">E64+E67</f>
        <v>990</v>
      </c>
      <c r="F63" s="44">
        <f t="shared" si="20"/>
        <v>500</v>
      </c>
      <c r="G63" s="44">
        <f t="shared" si="20"/>
        <v>990</v>
      </c>
      <c r="H63" s="44">
        <f t="shared" si="20"/>
        <v>500</v>
      </c>
      <c r="I63" s="45">
        <f t="shared" si="17"/>
        <v>1.0756543564001435</v>
      </c>
      <c r="J63" s="45">
        <f t="shared" si="17"/>
        <v>6.756756756756757</v>
      </c>
      <c r="K63" s="45">
        <f t="shared" si="18"/>
        <v>1.0756543564001435</v>
      </c>
      <c r="L63" s="45">
        <f t="shared" si="18"/>
        <v>6.756756756756757</v>
      </c>
    </row>
    <row r="64" spans="1:14" x14ac:dyDescent="0.25">
      <c r="A64" s="198" t="s">
        <v>159</v>
      </c>
      <c r="B64" s="46" t="s">
        <v>522</v>
      </c>
      <c r="C64" s="43">
        <f>SUM(C65:C66)</f>
        <v>411</v>
      </c>
      <c r="D64" s="43">
        <f>SUM(D65:D66)</f>
        <v>11</v>
      </c>
      <c r="E64" s="43">
        <f t="shared" ref="E64:H64" si="21">SUM(E65:E66)</f>
        <v>400</v>
      </c>
      <c r="F64" s="43">
        <f t="shared" si="21"/>
        <v>0</v>
      </c>
      <c r="G64" s="43">
        <f t="shared" si="21"/>
        <v>400</v>
      </c>
      <c r="H64" s="43">
        <f t="shared" si="21"/>
        <v>0</v>
      </c>
      <c r="I64" s="206">
        <f t="shared" si="17"/>
        <v>0.97323600973236013</v>
      </c>
      <c r="J64" s="206">
        <f t="shared" si="17"/>
        <v>0</v>
      </c>
      <c r="K64" s="206">
        <f t="shared" si="18"/>
        <v>0.97323600973236013</v>
      </c>
      <c r="L64" s="206">
        <f t="shared" si="18"/>
        <v>0</v>
      </c>
    </row>
    <row r="65" spans="1:13" ht="18.75" customHeight="1" x14ac:dyDescent="0.25">
      <c r="A65" s="198" t="s">
        <v>23</v>
      </c>
      <c r="B65" s="42" t="s">
        <v>523</v>
      </c>
      <c r="C65" s="43">
        <v>400</v>
      </c>
      <c r="D65" s="43"/>
      <c r="E65" s="44">
        <v>400</v>
      </c>
      <c r="F65" s="44"/>
      <c r="G65" s="44">
        <v>400</v>
      </c>
      <c r="H65" s="47"/>
      <c r="I65" s="45">
        <f t="shared" si="17"/>
        <v>1</v>
      </c>
      <c r="J65" s="45"/>
      <c r="K65" s="45">
        <f t="shared" si="18"/>
        <v>1</v>
      </c>
      <c r="L65" s="45"/>
    </row>
    <row r="66" spans="1:13" ht="18.75" customHeight="1" x14ac:dyDescent="0.25">
      <c r="A66" s="198" t="s">
        <v>23</v>
      </c>
      <c r="B66" s="42" t="s">
        <v>524</v>
      </c>
      <c r="C66" s="43">
        <v>11</v>
      </c>
      <c r="D66" s="43">
        <v>11</v>
      </c>
      <c r="E66" s="44"/>
      <c r="F66" s="44"/>
      <c r="G66" s="44"/>
      <c r="H66" s="47"/>
      <c r="I66" s="45">
        <f t="shared" si="17"/>
        <v>0</v>
      </c>
      <c r="J66" s="45">
        <f t="shared" si="17"/>
        <v>0</v>
      </c>
      <c r="K66" s="45"/>
      <c r="L66" s="45">
        <f t="shared" si="18"/>
        <v>0</v>
      </c>
    </row>
    <row r="67" spans="1:13" x14ac:dyDescent="0.25">
      <c r="A67" s="198" t="s">
        <v>160</v>
      </c>
      <c r="B67" s="46" t="s">
        <v>525</v>
      </c>
      <c r="C67" s="43">
        <f>SUM(C68:C69)</f>
        <v>509.37</v>
      </c>
      <c r="D67" s="43">
        <f>SUM(D68:D69)</f>
        <v>63</v>
      </c>
      <c r="E67" s="43">
        <f t="shared" ref="E67:H67" si="22">SUM(E68:E69)</f>
        <v>590</v>
      </c>
      <c r="F67" s="43">
        <f t="shared" si="22"/>
        <v>500</v>
      </c>
      <c r="G67" s="43">
        <f t="shared" si="22"/>
        <v>590</v>
      </c>
      <c r="H67" s="205">
        <f t="shared" si="22"/>
        <v>500</v>
      </c>
      <c r="I67" s="206">
        <f t="shared" si="17"/>
        <v>1.1582935783418733</v>
      </c>
      <c r="J67" s="206">
        <f t="shared" si="17"/>
        <v>7.9365079365079367</v>
      </c>
      <c r="K67" s="206">
        <f t="shared" si="18"/>
        <v>1.1582935783418733</v>
      </c>
      <c r="L67" s="206">
        <f t="shared" si="18"/>
        <v>7.9365079365079367</v>
      </c>
    </row>
    <row r="68" spans="1:13" ht="18.75" customHeight="1" x14ac:dyDescent="0.25">
      <c r="A68" s="198" t="s">
        <v>23</v>
      </c>
      <c r="B68" s="42" t="s">
        <v>523</v>
      </c>
      <c r="C68" s="43">
        <v>76.36</v>
      </c>
      <c r="D68" s="43"/>
      <c r="E68" s="44">
        <v>90</v>
      </c>
      <c r="F68" s="44"/>
      <c r="G68" s="44">
        <v>90</v>
      </c>
      <c r="H68" s="47"/>
      <c r="I68" s="45">
        <f t="shared" si="17"/>
        <v>1.1786275536930331</v>
      </c>
      <c r="J68" s="45"/>
      <c r="K68" s="45">
        <f t="shared" si="18"/>
        <v>1.1786275536930331</v>
      </c>
      <c r="L68" s="45"/>
    </row>
    <row r="69" spans="1:13" ht="18.75" customHeight="1" x14ac:dyDescent="0.25">
      <c r="A69" s="198" t="s">
        <v>23</v>
      </c>
      <c r="B69" s="42" t="s">
        <v>524</v>
      </c>
      <c r="C69" s="43">
        <v>433.01</v>
      </c>
      <c r="D69" s="43">
        <v>63</v>
      </c>
      <c r="E69" s="44">
        <v>500</v>
      </c>
      <c r="F69" s="44">
        <f>E69</f>
        <v>500</v>
      </c>
      <c r="G69" s="44">
        <v>500</v>
      </c>
      <c r="H69" s="47">
        <f>G69</f>
        <v>500</v>
      </c>
      <c r="I69" s="45">
        <f t="shared" si="17"/>
        <v>1.1547077434701278</v>
      </c>
      <c r="J69" s="45">
        <f t="shared" si="17"/>
        <v>7.9365079365079367</v>
      </c>
      <c r="K69" s="45">
        <f t="shared" si="18"/>
        <v>1.1547077434701278</v>
      </c>
      <c r="L69" s="45">
        <f t="shared" si="18"/>
        <v>7.9365079365079367</v>
      </c>
      <c r="M69" s="40"/>
    </row>
    <row r="70" spans="1:13" ht="38.25" hidden="1" customHeight="1" x14ac:dyDescent="0.25">
      <c r="A70" s="198" t="s">
        <v>526</v>
      </c>
      <c r="B70" s="42" t="s">
        <v>527</v>
      </c>
      <c r="C70" s="43"/>
      <c r="D70" s="43"/>
      <c r="E70" s="44"/>
      <c r="F70" s="44"/>
      <c r="G70" s="44"/>
      <c r="H70" s="47"/>
      <c r="I70" s="45" t="e">
        <f t="shared" si="17"/>
        <v>#DIV/0!</v>
      </c>
      <c r="J70" s="45" t="e">
        <f t="shared" si="17"/>
        <v>#DIV/0!</v>
      </c>
      <c r="K70" s="45" t="e">
        <f t="shared" si="18"/>
        <v>#DIV/0!</v>
      </c>
      <c r="L70" s="45" t="e">
        <f t="shared" si="18"/>
        <v>#DIV/0!</v>
      </c>
    </row>
    <row r="71" spans="1:13" ht="17.25" customHeight="1" x14ac:dyDescent="0.25">
      <c r="A71" s="198" t="s">
        <v>528</v>
      </c>
      <c r="B71" s="42" t="s">
        <v>529</v>
      </c>
      <c r="C71" s="43">
        <v>503.79</v>
      </c>
      <c r="D71" s="43">
        <v>397.57</v>
      </c>
      <c r="E71" s="44">
        <v>430</v>
      </c>
      <c r="F71" s="44">
        <v>330</v>
      </c>
      <c r="G71" s="44">
        <v>430</v>
      </c>
      <c r="H71" s="47">
        <v>330</v>
      </c>
      <c r="I71" s="45">
        <f t="shared" si="17"/>
        <v>0.85353024077492601</v>
      </c>
      <c r="J71" s="45">
        <f t="shared" si="17"/>
        <v>0.83004250823754311</v>
      </c>
      <c r="K71" s="45">
        <f t="shared" si="18"/>
        <v>0.85353024077492601</v>
      </c>
      <c r="L71" s="45">
        <f t="shared" si="18"/>
        <v>0.83004250823754311</v>
      </c>
      <c r="M71" s="40"/>
    </row>
    <row r="72" spans="1:13" ht="22.5" customHeight="1" x14ac:dyDescent="0.25">
      <c r="A72" s="198" t="s">
        <v>343</v>
      </c>
      <c r="B72" s="46" t="s">
        <v>530</v>
      </c>
      <c r="C72" s="43">
        <f>SUM(C73:C74)</f>
        <v>172.61</v>
      </c>
      <c r="D72" s="43">
        <f>SUM(D73:D74)</f>
        <v>172.61</v>
      </c>
      <c r="E72" s="44">
        <f t="shared" ref="E72:H72" si="23">SUM(E73:E74)</f>
        <v>180</v>
      </c>
      <c r="F72" s="44">
        <f t="shared" si="23"/>
        <v>180</v>
      </c>
      <c r="G72" s="44">
        <f t="shared" si="23"/>
        <v>180</v>
      </c>
      <c r="H72" s="47">
        <f t="shared" si="23"/>
        <v>180</v>
      </c>
      <c r="I72" s="45">
        <f t="shared" si="17"/>
        <v>1.0428132784890793</v>
      </c>
      <c r="J72" s="45">
        <f t="shared" si="17"/>
        <v>1.0428132784890793</v>
      </c>
      <c r="K72" s="45">
        <f t="shared" si="18"/>
        <v>1.0428132784890793</v>
      </c>
      <c r="L72" s="45">
        <f t="shared" si="18"/>
        <v>1.0428132784890793</v>
      </c>
    </row>
    <row r="73" spans="1:13" ht="18.75" hidden="1" customHeight="1" x14ac:dyDescent="0.25">
      <c r="A73" s="198" t="s">
        <v>23</v>
      </c>
      <c r="B73" s="42" t="s">
        <v>531</v>
      </c>
      <c r="C73" s="43"/>
      <c r="D73" s="43"/>
      <c r="E73" s="44"/>
      <c r="F73" s="44"/>
      <c r="G73" s="44"/>
      <c r="H73" s="47"/>
      <c r="I73" s="45" t="e">
        <f t="shared" si="17"/>
        <v>#DIV/0!</v>
      </c>
      <c r="J73" s="45" t="e">
        <f t="shared" si="17"/>
        <v>#DIV/0!</v>
      </c>
      <c r="K73" s="45" t="e">
        <f t="shared" si="18"/>
        <v>#DIV/0!</v>
      </c>
      <c r="L73" s="45" t="e">
        <f t="shared" si="18"/>
        <v>#DIV/0!</v>
      </c>
    </row>
    <row r="74" spans="1:13" ht="19.5" customHeight="1" x14ac:dyDescent="0.25">
      <c r="A74" s="198" t="s">
        <v>23</v>
      </c>
      <c r="B74" s="42" t="s">
        <v>532</v>
      </c>
      <c r="C74" s="43">
        <v>172.61</v>
      </c>
      <c r="D74" s="43">
        <f>C74</f>
        <v>172.61</v>
      </c>
      <c r="E74" s="44">
        <v>180</v>
      </c>
      <c r="F74" s="44">
        <f>E74</f>
        <v>180</v>
      </c>
      <c r="G74" s="44">
        <v>180</v>
      </c>
      <c r="H74" s="47">
        <f>G74</f>
        <v>180</v>
      </c>
      <c r="I74" s="45">
        <f t="shared" si="17"/>
        <v>1.0428132784890793</v>
      </c>
      <c r="J74" s="45">
        <f t="shared" si="17"/>
        <v>1.0428132784890793</v>
      </c>
      <c r="K74" s="45">
        <f t="shared" si="18"/>
        <v>1.0428132784890793</v>
      </c>
      <c r="L74" s="45">
        <f t="shared" si="18"/>
        <v>1.0428132784890793</v>
      </c>
    </row>
    <row r="75" spans="1:13" ht="40.5" hidden="1" customHeight="1" x14ac:dyDescent="0.25">
      <c r="A75" s="198">
        <v>15</v>
      </c>
      <c r="B75" s="50" t="s">
        <v>533</v>
      </c>
      <c r="C75" s="198"/>
      <c r="D75" s="198"/>
      <c r="E75" s="51"/>
      <c r="F75" s="51"/>
      <c r="G75" s="51"/>
      <c r="H75" s="52"/>
      <c r="I75" s="45"/>
      <c r="J75" s="45" t="e">
        <f>#REF!/#REF!</f>
        <v>#REF!</v>
      </c>
      <c r="K75" s="45"/>
      <c r="L75" s="45" t="e">
        <f>#REF!/#REF!</f>
        <v>#REF!</v>
      </c>
    </row>
    <row r="76" spans="1:13" ht="30.75" hidden="1" customHeight="1" x14ac:dyDescent="0.25">
      <c r="A76" s="198">
        <v>16</v>
      </c>
      <c r="B76" s="50" t="s">
        <v>534</v>
      </c>
      <c r="C76" s="198"/>
      <c r="D76" s="198"/>
      <c r="E76" s="51"/>
      <c r="F76" s="51"/>
      <c r="G76" s="51"/>
      <c r="H76" s="52"/>
      <c r="I76" s="45"/>
      <c r="J76" s="45" t="e">
        <f>#REF!/#REF!</f>
        <v>#REF!</v>
      </c>
      <c r="K76" s="45"/>
      <c r="L76" s="45" t="e">
        <f>#REF!/#REF!</f>
        <v>#REF!</v>
      </c>
    </row>
    <row r="77" spans="1:13" ht="18.75" hidden="1" customHeight="1" x14ac:dyDescent="0.25">
      <c r="A77" s="198" t="s">
        <v>345</v>
      </c>
      <c r="B77" s="50" t="s">
        <v>535</v>
      </c>
      <c r="C77" s="198"/>
      <c r="D77" s="198"/>
      <c r="E77" s="51"/>
      <c r="F77" s="51"/>
      <c r="G77" s="51"/>
      <c r="H77" s="52"/>
      <c r="I77" s="45"/>
      <c r="J77" s="45" t="e">
        <f>#REF!/#REF!</f>
        <v>#REF!</v>
      </c>
      <c r="K77" s="45"/>
      <c r="L77" s="45" t="e">
        <f>#REF!/#REF!</f>
        <v>#REF!</v>
      </c>
    </row>
    <row r="78" spans="1:13" ht="18.75" hidden="1" customHeight="1" x14ac:dyDescent="0.25">
      <c r="A78" s="198" t="s">
        <v>29</v>
      </c>
      <c r="B78" s="50" t="s">
        <v>536</v>
      </c>
      <c r="C78" s="198"/>
      <c r="D78" s="198"/>
      <c r="E78" s="51"/>
      <c r="F78" s="51"/>
      <c r="G78" s="51"/>
      <c r="H78" s="52"/>
      <c r="I78" s="45"/>
      <c r="J78" s="45" t="e">
        <f>#REF!/#REF!</f>
        <v>#REF!</v>
      </c>
      <c r="K78" s="45"/>
      <c r="L78" s="45" t="e">
        <f>#REF!/#REF!</f>
        <v>#REF!</v>
      </c>
    </row>
    <row r="79" spans="1:13" ht="28.5" hidden="1" customHeight="1" x14ac:dyDescent="0.25">
      <c r="A79" s="198" t="s">
        <v>35</v>
      </c>
      <c r="B79" s="50" t="s">
        <v>537</v>
      </c>
      <c r="C79" s="198"/>
      <c r="D79" s="198"/>
      <c r="E79" s="51"/>
      <c r="F79" s="51"/>
      <c r="G79" s="51"/>
      <c r="H79" s="52"/>
      <c r="I79" s="45"/>
      <c r="J79" s="45" t="e">
        <f>#REF!/#REF!</f>
        <v>#REF!</v>
      </c>
      <c r="K79" s="45"/>
      <c r="L79" s="45" t="e">
        <f>#REF!/#REF!</f>
        <v>#REF!</v>
      </c>
    </row>
    <row r="80" spans="1:13" ht="15.75" hidden="1" customHeight="1" x14ac:dyDescent="0.25">
      <c r="A80" s="198" t="s">
        <v>68</v>
      </c>
      <c r="B80" s="50" t="s">
        <v>538</v>
      </c>
      <c r="C80" s="198"/>
      <c r="D80" s="198"/>
      <c r="E80" s="51"/>
      <c r="F80" s="51"/>
      <c r="G80" s="51"/>
      <c r="H80" s="52"/>
      <c r="I80" s="45"/>
      <c r="J80" s="45" t="e">
        <f>#REF!/#REF!</f>
        <v>#REF!</v>
      </c>
      <c r="K80" s="45"/>
      <c r="L80" s="45" t="e">
        <f>#REF!/#REF!</f>
        <v>#REF!</v>
      </c>
    </row>
    <row r="81" spans="1:12" ht="18.75" hidden="1" customHeight="1" x14ac:dyDescent="0.25">
      <c r="A81" s="198"/>
      <c r="B81" s="50"/>
      <c r="C81" s="198"/>
      <c r="D81" s="198"/>
      <c r="E81" s="51"/>
      <c r="F81" s="51"/>
      <c r="G81" s="51"/>
      <c r="H81" s="52"/>
      <c r="I81" s="45"/>
      <c r="J81" s="45" t="e">
        <f>#REF!/#REF!</f>
        <v>#REF!</v>
      </c>
      <c r="K81" s="45"/>
      <c r="L81" s="45" t="e">
        <f>#REF!/#REF!</f>
        <v>#REF!</v>
      </c>
    </row>
    <row r="82" spans="1:12" ht="18.75" hidden="1" customHeight="1" x14ac:dyDescent="0.25">
      <c r="A82" s="198"/>
      <c r="B82" s="50"/>
      <c r="C82" s="198"/>
      <c r="D82" s="198"/>
      <c r="E82" s="51"/>
      <c r="F82" s="51"/>
      <c r="G82" s="51"/>
      <c r="H82" s="52"/>
      <c r="I82" s="45"/>
      <c r="J82" s="45" t="e">
        <f>#REF!/#REF!</f>
        <v>#REF!</v>
      </c>
      <c r="K82" s="45"/>
      <c r="L82" s="45" t="e">
        <f>#REF!/#REF!</f>
        <v>#REF!</v>
      </c>
    </row>
    <row r="83" spans="1:12" ht="18.75" hidden="1" customHeight="1" x14ac:dyDescent="0.25">
      <c r="A83" s="198"/>
      <c r="B83" s="50"/>
      <c r="C83" s="549"/>
      <c r="D83" s="549"/>
      <c r="E83" s="51"/>
      <c r="F83" s="51"/>
      <c r="G83" s="51"/>
      <c r="H83" s="52"/>
      <c r="I83" s="45"/>
      <c r="J83" s="45" t="e">
        <f>#REF!/#REF!</f>
        <v>#REF!</v>
      </c>
      <c r="K83" s="45"/>
      <c r="L83" s="45" t="e">
        <f>#REF!/#REF!</f>
        <v>#REF!</v>
      </c>
    </row>
    <row r="84" spans="1:12" ht="18.75" hidden="1" customHeight="1" x14ac:dyDescent="0.25">
      <c r="A84" s="198"/>
      <c r="B84" s="50"/>
      <c r="C84" s="549"/>
      <c r="D84" s="549"/>
      <c r="E84" s="51"/>
      <c r="F84" s="51"/>
      <c r="G84" s="51"/>
      <c r="H84" s="52"/>
      <c r="I84" s="45"/>
      <c r="J84" s="45" t="e">
        <f>#REF!/#REF!</f>
        <v>#REF!</v>
      </c>
      <c r="K84" s="45"/>
      <c r="L84" s="45" t="e">
        <f>#REF!/#REF!</f>
        <v>#REF!</v>
      </c>
    </row>
    <row r="85" spans="1:12" x14ac:dyDescent="0.25">
      <c r="A85" s="53"/>
      <c r="B85" s="54"/>
      <c r="C85" s="53"/>
      <c r="D85" s="53"/>
      <c r="E85" s="55"/>
      <c r="F85" s="55"/>
      <c r="G85" s="55"/>
      <c r="H85" s="56"/>
      <c r="I85" s="57"/>
      <c r="J85" s="57"/>
      <c r="K85" s="57"/>
      <c r="L85" s="57"/>
    </row>
    <row r="86" spans="1:12" x14ac:dyDescent="0.25">
      <c r="A86" s="39"/>
      <c r="C86" s="39"/>
      <c r="D86" s="39"/>
      <c r="E86" s="199"/>
      <c r="F86" s="199"/>
      <c r="G86" s="199"/>
      <c r="H86" s="199"/>
      <c r="I86" s="199"/>
      <c r="J86" s="199"/>
      <c r="K86" s="199"/>
      <c r="L86" s="199"/>
    </row>
  </sheetData>
  <mergeCells count="18">
    <mergeCell ref="C83:D83"/>
    <mergeCell ref="C84:D84"/>
    <mergeCell ref="C5:C7"/>
    <mergeCell ref="D5:D7"/>
    <mergeCell ref="E5:F6"/>
    <mergeCell ref="G5:H6"/>
    <mergeCell ref="I5:J6"/>
    <mergeCell ref="K5:L6"/>
    <mergeCell ref="A1:B1"/>
    <mergeCell ref="H1:L1"/>
    <mergeCell ref="A2:L2"/>
    <mergeCell ref="E3:F3"/>
    <mergeCell ref="G3:H3"/>
    <mergeCell ref="A4:A7"/>
    <mergeCell ref="B4:B7"/>
    <mergeCell ref="C4:D4"/>
    <mergeCell ref="E4:H4"/>
    <mergeCell ref="I4:L4"/>
  </mergeCells>
  <printOptions horizontalCentered="1"/>
  <pageMargins left="0.27559055118110237" right="0.15748031496062992" top="0.27559055118110237" bottom="0.19685039370078741"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topLeftCell="A25" workbookViewId="0">
      <selection activeCell="F31" sqref="F31"/>
    </sheetView>
  </sheetViews>
  <sheetFormatPr defaultRowHeight="15" x14ac:dyDescent="0.25"/>
  <cols>
    <col min="1" max="1" width="5.7109375" style="2" customWidth="1"/>
    <col min="2" max="2" width="44.5703125" style="2" customWidth="1"/>
    <col min="3" max="3" width="13.140625" style="2" customWidth="1"/>
    <col min="4" max="4" width="11.5703125" style="2" customWidth="1"/>
    <col min="5" max="5" width="12.140625" style="2" customWidth="1"/>
    <col min="6" max="6" width="11.7109375" style="2" customWidth="1"/>
    <col min="7" max="7" width="9.7109375" style="2" bestFit="1" customWidth="1"/>
    <col min="8" max="8" width="9.28515625" style="2" bestFit="1" customWidth="1"/>
    <col min="9" max="9" width="10.42578125" style="2" customWidth="1"/>
    <col min="10" max="10" width="11.140625" style="2" customWidth="1"/>
    <col min="11" max="16384" width="9.140625" style="2"/>
  </cols>
  <sheetData>
    <row r="1" spans="1:11" ht="21.75" customHeight="1" x14ac:dyDescent="0.25">
      <c r="A1" s="530" t="s">
        <v>180</v>
      </c>
      <c r="B1" s="530"/>
      <c r="C1" s="62"/>
      <c r="D1" s="62"/>
      <c r="E1" s="62"/>
      <c r="F1" s="552" t="s">
        <v>539</v>
      </c>
      <c r="G1" s="552"/>
      <c r="H1" s="552"/>
      <c r="I1" s="552"/>
      <c r="J1" s="552"/>
    </row>
    <row r="2" spans="1:11" x14ac:dyDescent="0.25">
      <c r="A2" s="553" t="s">
        <v>540</v>
      </c>
      <c r="B2" s="553"/>
      <c r="C2" s="553"/>
      <c r="D2" s="553"/>
      <c r="E2" s="553"/>
      <c r="F2" s="553"/>
      <c r="G2" s="553"/>
      <c r="H2" s="553"/>
      <c r="I2" s="553"/>
      <c r="J2" s="553"/>
    </row>
    <row r="3" spans="1:11" x14ac:dyDescent="0.25">
      <c r="A3" s="63"/>
      <c r="C3" s="64"/>
      <c r="D3" s="65"/>
      <c r="E3" s="64"/>
      <c r="F3" s="64"/>
      <c r="G3" s="554" t="s">
        <v>42</v>
      </c>
      <c r="H3" s="554"/>
      <c r="I3" s="554"/>
      <c r="J3" s="554"/>
    </row>
    <row r="4" spans="1:11" ht="34.5" customHeight="1" x14ac:dyDescent="0.25">
      <c r="A4" s="555" t="s">
        <v>13</v>
      </c>
      <c r="B4" s="555" t="s">
        <v>14</v>
      </c>
      <c r="C4" s="558" t="s">
        <v>356</v>
      </c>
      <c r="D4" s="559"/>
      <c r="E4" s="558" t="s">
        <v>410</v>
      </c>
      <c r="F4" s="559"/>
      <c r="G4" s="560" t="s">
        <v>541</v>
      </c>
      <c r="H4" s="561"/>
      <c r="I4" s="561"/>
      <c r="J4" s="562"/>
    </row>
    <row r="5" spans="1:11" s="61" customFormat="1" ht="21.75" customHeight="1" x14ac:dyDescent="0.25">
      <c r="A5" s="556"/>
      <c r="B5" s="556"/>
      <c r="C5" s="563" t="s">
        <v>448</v>
      </c>
      <c r="D5" s="563" t="s">
        <v>449</v>
      </c>
      <c r="E5" s="563" t="s">
        <v>448</v>
      </c>
      <c r="F5" s="563" t="s">
        <v>449</v>
      </c>
      <c r="G5" s="565" t="s">
        <v>448</v>
      </c>
      <c r="H5" s="566"/>
      <c r="I5" s="565" t="s">
        <v>450</v>
      </c>
      <c r="J5" s="566"/>
    </row>
    <row r="6" spans="1:11" s="61" customFormat="1" ht="30" customHeight="1" x14ac:dyDescent="0.25">
      <c r="A6" s="557"/>
      <c r="B6" s="557"/>
      <c r="C6" s="564"/>
      <c r="D6" s="564"/>
      <c r="E6" s="564"/>
      <c r="F6" s="564"/>
      <c r="G6" s="71" t="s">
        <v>542</v>
      </c>
      <c r="H6" s="71" t="s">
        <v>543</v>
      </c>
      <c r="I6" s="71" t="s">
        <v>542</v>
      </c>
      <c r="J6" s="71" t="s">
        <v>543</v>
      </c>
    </row>
    <row r="7" spans="1:11" s="61" customFormat="1" ht="21.75" customHeight="1" x14ac:dyDescent="0.25">
      <c r="A7" s="71" t="s">
        <v>17</v>
      </c>
      <c r="B7" s="71" t="s">
        <v>18</v>
      </c>
      <c r="C7" s="71">
        <v>1</v>
      </c>
      <c r="D7" s="71">
        <v>2</v>
      </c>
      <c r="E7" s="71">
        <v>3</v>
      </c>
      <c r="F7" s="71">
        <v>4</v>
      </c>
      <c r="G7" s="71">
        <v>5</v>
      </c>
      <c r="H7" s="71">
        <v>6</v>
      </c>
      <c r="I7" s="71">
        <v>7</v>
      </c>
      <c r="J7" s="71">
        <v>8</v>
      </c>
    </row>
    <row r="8" spans="1:11" s="18" customFormat="1" ht="29.25" customHeight="1" x14ac:dyDescent="0.2">
      <c r="A8" s="72"/>
      <c r="B8" s="73" t="s">
        <v>544</v>
      </c>
      <c r="C8" s="74">
        <f>C9+C31</f>
        <v>319343</v>
      </c>
      <c r="D8" s="75">
        <f>D9+D31</f>
        <v>366153.17</v>
      </c>
      <c r="E8" s="75">
        <f>E9+E31</f>
        <v>361225</v>
      </c>
      <c r="F8" s="75">
        <f>F9+F31</f>
        <v>447546.74900000001</v>
      </c>
      <c r="G8" s="74">
        <f>E8-C8</f>
        <v>41882</v>
      </c>
      <c r="H8" s="76">
        <f>E8/C8</f>
        <v>1.1311505184081065</v>
      </c>
      <c r="I8" s="74">
        <f>F8-D8</f>
        <v>81393.579000000027</v>
      </c>
      <c r="J8" s="76">
        <f>F8/D8</f>
        <v>1.2222937985215314</v>
      </c>
    </row>
    <row r="9" spans="1:11" s="18" customFormat="1" ht="30" customHeight="1" x14ac:dyDescent="0.2">
      <c r="A9" s="77" t="s">
        <v>17</v>
      </c>
      <c r="B9" s="78" t="s">
        <v>182</v>
      </c>
      <c r="C9" s="79">
        <f>C10+C23+C29+C30</f>
        <v>286172</v>
      </c>
      <c r="D9" s="80">
        <f>D10+D23+D29+D30</f>
        <v>332982.17</v>
      </c>
      <c r="E9" s="80">
        <f>E10+E23+E29+E30</f>
        <v>353127</v>
      </c>
      <c r="F9" s="80">
        <f>F10+F23+F29+F30</f>
        <v>439448.74900000001</v>
      </c>
      <c r="G9" s="79">
        <f t="shared" ref="G9:G72" si="0">E9-C9</f>
        <v>66955</v>
      </c>
      <c r="H9" s="81">
        <f t="shared" ref="H9:H72" si="1">E9/C9</f>
        <v>1.2339676837705995</v>
      </c>
      <c r="I9" s="79">
        <f t="shared" ref="I9:I72" si="2">F9-D9</f>
        <v>106466.57900000003</v>
      </c>
      <c r="J9" s="81">
        <f t="shared" ref="J9:J72" si="3">F9/D9</f>
        <v>1.3197365762857514</v>
      </c>
    </row>
    <row r="10" spans="1:11" s="18" customFormat="1" ht="21.75" customHeight="1" x14ac:dyDescent="0.2">
      <c r="A10" s="77" t="s">
        <v>19</v>
      </c>
      <c r="B10" s="78" t="s">
        <v>457</v>
      </c>
      <c r="C10" s="79">
        <f t="shared" ref="C10:F10" si="4">C11</f>
        <v>10472</v>
      </c>
      <c r="D10" s="80">
        <f t="shared" si="4"/>
        <v>51832</v>
      </c>
      <c r="E10" s="80">
        <f t="shared" si="4"/>
        <v>18392</v>
      </c>
      <c r="F10" s="80">
        <f t="shared" si="4"/>
        <v>97064</v>
      </c>
      <c r="G10" s="79">
        <f t="shared" si="0"/>
        <v>7920</v>
      </c>
      <c r="H10" s="81">
        <f t="shared" si="1"/>
        <v>1.7563025210084033</v>
      </c>
      <c r="I10" s="79">
        <f t="shared" si="2"/>
        <v>45232</v>
      </c>
      <c r="J10" s="81">
        <f t="shared" si="3"/>
        <v>1.8726655348047538</v>
      </c>
    </row>
    <row r="11" spans="1:11" s="18" customFormat="1" ht="21.75" customHeight="1" x14ac:dyDescent="0.2">
      <c r="A11" s="77">
        <v>1</v>
      </c>
      <c r="B11" s="78" t="s">
        <v>62</v>
      </c>
      <c r="C11" s="79">
        <f t="shared" ref="C11" si="5">C18</f>
        <v>10472</v>
      </c>
      <c r="D11" s="80">
        <f>D18</f>
        <v>51832</v>
      </c>
      <c r="E11" s="80">
        <f>E18</f>
        <v>18392</v>
      </c>
      <c r="F11" s="80">
        <f>F18</f>
        <v>97064</v>
      </c>
      <c r="G11" s="79">
        <f t="shared" si="0"/>
        <v>7920</v>
      </c>
      <c r="H11" s="81">
        <f t="shared" si="1"/>
        <v>1.7563025210084033</v>
      </c>
      <c r="I11" s="79">
        <f t="shared" si="2"/>
        <v>45232</v>
      </c>
      <c r="J11" s="81">
        <f t="shared" si="3"/>
        <v>1.8726655348047538</v>
      </c>
    </row>
    <row r="12" spans="1:11" s="18" customFormat="1" ht="21.75" customHeight="1" x14ac:dyDescent="0.2">
      <c r="A12" s="77"/>
      <c r="B12" s="78" t="s">
        <v>545</v>
      </c>
      <c r="C12" s="79">
        <v>10472</v>
      </c>
      <c r="D12" s="80">
        <f>SUM(D13:D17)</f>
        <v>51832</v>
      </c>
      <c r="E12" s="80">
        <f>SUM(E13:E17)</f>
        <v>18392</v>
      </c>
      <c r="F12" s="80">
        <f>SUM(F13:F17)</f>
        <v>97064</v>
      </c>
      <c r="G12" s="79">
        <f t="shared" si="0"/>
        <v>7920</v>
      </c>
      <c r="H12" s="81">
        <f t="shared" si="1"/>
        <v>1.7563025210084033</v>
      </c>
      <c r="I12" s="79">
        <f t="shared" si="2"/>
        <v>45232</v>
      </c>
      <c r="J12" s="81">
        <f t="shared" si="3"/>
        <v>1.8726655348047538</v>
      </c>
    </row>
    <row r="13" spans="1:11" ht="21.75" customHeight="1" x14ac:dyDescent="0.25">
      <c r="A13" s="82" t="s">
        <v>23</v>
      </c>
      <c r="B13" s="83" t="s">
        <v>63</v>
      </c>
      <c r="C13" s="84"/>
      <c r="D13" s="32">
        <f>6880+4000</f>
        <v>10880</v>
      </c>
      <c r="E13" s="32">
        <v>2602</v>
      </c>
      <c r="F13" s="32">
        <v>2602</v>
      </c>
      <c r="G13" s="84">
        <f>E13-C13</f>
        <v>2602</v>
      </c>
      <c r="H13" s="85"/>
      <c r="I13" s="84">
        <f t="shared" si="2"/>
        <v>-8278</v>
      </c>
      <c r="J13" s="85">
        <f t="shared" si="3"/>
        <v>0.23915441176470589</v>
      </c>
      <c r="K13" s="15"/>
    </row>
    <row r="14" spans="1:11" ht="21.75" customHeight="1" x14ac:dyDescent="0.25">
      <c r="A14" s="82" t="s">
        <v>23</v>
      </c>
      <c r="B14" s="83" t="s">
        <v>194</v>
      </c>
      <c r="C14" s="84"/>
      <c r="D14" s="32"/>
      <c r="E14" s="32">
        <v>5700</v>
      </c>
      <c r="F14" s="32">
        <v>5700</v>
      </c>
      <c r="G14" s="84">
        <f t="shared" si="0"/>
        <v>5700</v>
      </c>
      <c r="H14" s="85"/>
      <c r="I14" s="84">
        <f t="shared" si="2"/>
        <v>5700</v>
      </c>
      <c r="J14" s="85"/>
      <c r="K14" s="15"/>
    </row>
    <row r="15" spans="1:11" ht="21.75" customHeight="1" x14ac:dyDescent="0.25">
      <c r="A15" s="82" t="s">
        <v>23</v>
      </c>
      <c r="B15" s="83" t="s">
        <v>196</v>
      </c>
      <c r="C15" s="84"/>
      <c r="D15" s="32">
        <v>40952</v>
      </c>
      <c r="E15" s="32">
        <v>10090</v>
      </c>
      <c r="F15" s="32">
        <v>78870</v>
      </c>
      <c r="G15" s="84">
        <f t="shared" si="0"/>
        <v>10090</v>
      </c>
      <c r="H15" s="85"/>
      <c r="I15" s="84">
        <f t="shared" si="2"/>
        <v>37918</v>
      </c>
      <c r="J15" s="85">
        <f t="shared" si="3"/>
        <v>1.9259132643094354</v>
      </c>
    </row>
    <row r="16" spans="1:11" ht="30" x14ac:dyDescent="0.25">
      <c r="A16" s="82" t="s">
        <v>23</v>
      </c>
      <c r="B16" s="207" t="s">
        <v>85</v>
      </c>
      <c r="C16" s="84"/>
      <c r="D16" s="32"/>
      <c r="E16" s="32"/>
      <c r="F16" s="32">
        <v>6200</v>
      </c>
      <c r="G16" s="84"/>
      <c r="H16" s="85"/>
      <c r="I16" s="84"/>
      <c r="J16" s="85"/>
      <c r="K16" s="15"/>
    </row>
    <row r="17" spans="1:11" s="66" customFormat="1" ht="21.75" customHeight="1" x14ac:dyDescent="0.25">
      <c r="A17" s="82" t="s">
        <v>23</v>
      </c>
      <c r="B17" s="83" t="s">
        <v>197</v>
      </c>
      <c r="C17" s="84"/>
      <c r="D17" s="32"/>
      <c r="E17" s="32"/>
      <c r="F17" s="32">
        <v>3692</v>
      </c>
      <c r="G17" s="84">
        <f t="shared" si="0"/>
        <v>0</v>
      </c>
      <c r="H17" s="85"/>
      <c r="I17" s="84">
        <f t="shared" si="2"/>
        <v>3692</v>
      </c>
      <c r="J17" s="85"/>
    </row>
    <row r="18" spans="1:11" s="18" customFormat="1" ht="21.75" customHeight="1" x14ac:dyDescent="0.2">
      <c r="A18" s="77"/>
      <c r="B18" s="78" t="s">
        <v>546</v>
      </c>
      <c r="C18" s="79">
        <f>SUM(C19:C20)</f>
        <v>10472</v>
      </c>
      <c r="D18" s="80">
        <f>SUM(D19:D20)</f>
        <v>51832</v>
      </c>
      <c r="E18" s="80">
        <f>SUM(E19:E20)</f>
        <v>18392</v>
      </c>
      <c r="F18" s="80">
        <f>SUM(F19:F20)</f>
        <v>97064</v>
      </c>
      <c r="G18" s="79">
        <f t="shared" si="0"/>
        <v>7920</v>
      </c>
      <c r="H18" s="81">
        <f t="shared" si="1"/>
        <v>1.7563025210084033</v>
      </c>
      <c r="I18" s="79">
        <f t="shared" si="2"/>
        <v>45232</v>
      </c>
      <c r="J18" s="81">
        <f t="shared" si="3"/>
        <v>1.8726655348047538</v>
      </c>
      <c r="K18" s="67"/>
    </row>
    <row r="19" spans="1:11" ht="21.75" customHeight="1" x14ac:dyDescent="0.25">
      <c r="A19" s="86" t="s">
        <v>23</v>
      </c>
      <c r="B19" s="87" t="s">
        <v>188</v>
      </c>
      <c r="C19" s="84">
        <v>7832</v>
      </c>
      <c r="D19" s="32">
        <v>7832</v>
      </c>
      <c r="E19" s="32">
        <v>7832</v>
      </c>
      <c r="F19" s="32">
        <v>7832</v>
      </c>
      <c r="G19" s="84">
        <f t="shared" si="0"/>
        <v>0</v>
      </c>
      <c r="H19" s="85">
        <f t="shared" si="1"/>
        <v>1</v>
      </c>
      <c r="I19" s="84">
        <f t="shared" si="2"/>
        <v>0</v>
      </c>
      <c r="J19" s="85">
        <f t="shared" si="3"/>
        <v>1</v>
      </c>
    </row>
    <row r="20" spans="1:11" ht="21.75" customHeight="1" x14ac:dyDescent="0.25">
      <c r="A20" s="86" t="s">
        <v>23</v>
      </c>
      <c r="B20" s="87" t="s">
        <v>140</v>
      </c>
      <c r="C20" s="84">
        <v>2640</v>
      </c>
      <c r="D20" s="32">
        <v>44000</v>
      </c>
      <c r="E20" s="32">
        <v>10560</v>
      </c>
      <c r="F20" s="88">
        <v>89232</v>
      </c>
      <c r="G20" s="84">
        <f t="shared" si="0"/>
        <v>7920</v>
      </c>
      <c r="H20" s="85">
        <f t="shared" si="1"/>
        <v>4</v>
      </c>
      <c r="I20" s="84">
        <f t="shared" si="2"/>
        <v>45232</v>
      </c>
      <c r="J20" s="85">
        <f t="shared" si="3"/>
        <v>2.028</v>
      </c>
    </row>
    <row r="21" spans="1:11" ht="71.25" x14ac:dyDescent="0.25">
      <c r="A21" s="89">
        <v>2</v>
      </c>
      <c r="B21" s="78" t="s">
        <v>185</v>
      </c>
      <c r="C21" s="84"/>
      <c r="D21" s="32"/>
      <c r="E21" s="32"/>
      <c r="F21" s="32"/>
      <c r="G21" s="84">
        <f t="shared" si="0"/>
        <v>0</v>
      </c>
      <c r="H21" s="85"/>
      <c r="I21" s="84">
        <f t="shared" si="2"/>
        <v>0</v>
      </c>
      <c r="J21" s="85"/>
    </row>
    <row r="22" spans="1:11" ht="21.75" customHeight="1" x14ac:dyDescent="0.25">
      <c r="A22" s="89">
        <v>3</v>
      </c>
      <c r="B22" s="25" t="s">
        <v>253</v>
      </c>
      <c r="C22" s="84"/>
      <c r="D22" s="32"/>
      <c r="E22" s="32"/>
      <c r="F22" s="32"/>
      <c r="G22" s="84">
        <f t="shared" si="0"/>
        <v>0</v>
      </c>
      <c r="H22" s="85"/>
      <c r="I22" s="84">
        <f t="shared" si="2"/>
        <v>0</v>
      </c>
      <c r="J22" s="85"/>
    </row>
    <row r="23" spans="1:11" s="68" customFormat="1" ht="21.75" customHeight="1" x14ac:dyDescent="0.2">
      <c r="A23" s="77" t="s">
        <v>29</v>
      </c>
      <c r="B23" s="78" t="s">
        <v>89</v>
      </c>
      <c r="C23" s="79">
        <f>SUM(C25:C28)</f>
        <v>269970</v>
      </c>
      <c r="D23" s="80">
        <f>SUM(D25:D28)</f>
        <v>268645.86</v>
      </c>
      <c r="E23" s="80">
        <f>SUM(E25:E28)</f>
        <v>327672</v>
      </c>
      <c r="F23" s="80">
        <f>SUM(F25:F28)</f>
        <v>329966.74900000001</v>
      </c>
      <c r="G23" s="79">
        <f t="shared" si="0"/>
        <v>57702</v>
      </c>
      <c r="H23" s="81">
        <f t="shared" si="1"/>
        <v>1.2137348594288255</v>
      </c>
      <c r="I23" s="79">
        <f t="shared" si="2"/>
        <v>61320.889000000025</v>
      </c>
      <c r="J23" s="81">
        <f t="shared" si="3"/>
        <v>1.2282591996764813</v>
      </c>
    </row>
    <row r="24" spans="1:11" s="68" customFormat="1" ht="21.75" customHeight="1" x14ac:dyDescent="0.2">
      <c r="A24" s="77"/>
      <c r="B24" s="78" t="s">
        <v>67</v>
      </c>
      <c r="C24" s="79"/>
      <c r="D24" s="80"/>
      <c r="E24" s="80"/>
      <c r="F24" s="80"/>
      <c r="G24" s="84">
        <f t="shared" si="0"/>
        <v>0</v>
      </c>
      <c r="H24" s="85"/>
      <c r="I24" s="84">
        <f t="shared" si="2"/>
        <v>0</v>
      </c>
      <c r="J24" s="85"/>
    </row>
    <row r="25" spans="1:11" s="66" customFormat="1" ht="21.75" customHeight="1" x14ac:dyDescent="0.25">
      <c r="A25" s="82" t="s">
        <v>23</v>
      </c>
      <c r="B25" s="83" t="s">
        <v>63</v>
      </c>
      <c r="C25" s="90">
        <v>159376</v>
      </c>
      <c r="D25" s="32">
        <v>159376.25</v>
      </c>
      <c r="E25" s="32">
        <v>196950</v>
      </c>
      <c r="F25" s="32">
        <v>196950</v>
      </c>
      <c r="G25" s="84">
        <f t="shared" si="0"/>
        <v>37574</v>
      </c>
      <c r="H25" s="85">
        <f t="shared" si="1"/>
        <v>1.2357569521132417</v>
      </c>
      <c r="I25" s="84">
        <f t="shared" si="2"/>
        <v>37573.75</v>
      </c>
      <c r="J25" s="85">
        <f t="shared" si="3"/>
        <v>1.2357550136861672</v>
      </c>
    </row>
    <row r="26" spans="1:11" s="66" customFormat="1" ht="21.75" customHeight="1" x14ac:dyDescent="0.25">
      <c r="A26" s="82" t="s">
        <v>23</v>
      </c>
      <c r="B26" s="83" t="s">
        <v>64</v>
      </c>
      <c r="C26" s="91">
        <v>150</v>
      </c>
      <c r="D26" s="32">
        <v>150</v>
      </c>
      <c r="E26" s="32">
        <v>150</v>
      </c>
      <c r="F26" s="32">
        <v>150</v>
      </c>
      <c r="G26" s="84">
        <f t="shared" si="0"/>
        <v>0</v>
      </c>
      <c r="H26" s="85">
        <f t="shared" si="1"/>
        <v>1</v>
      </c>
      <c r="I26" s="84">
        <f t="shared" si="2"/>
        <v>0</v>
      </c>
      <c r="J26" s="85">
        <f t="shared" si="3"/>
        <v>1</v>
      </c>
    </row>
    <row r="27" spans="1:11" s="66" customFormat="1" ht="21.75" customHeight="1" x14ac:dyDescent="0.25">
      <c r="A27" s="82" t="s">
        <v>23</v>
      </c>
      <c r="B27" s="83" t="s">
        <v>198</v>
      </c>
      <c r="C27" s="92">
        <f>2007</f>
        <v>2007</v>
      </c>
      <c r="D27" s="93">
        <v>2123.61</v>
      </c>
      <c r="E27" s="93">
        <v>6399</v>
      </c>
      <c r="F27" s="93">
        <v>6399</v>
      </c>
      <c r="G27" s="84">
        <f t="shared" si="0"/>
        <v>4392</v>
      </c>
      <c r="H27" s="85">
        <f t="shared" si="1"/>
        <v>3.188340807174888</v>
      </c>
      <c r="I27" s="84">
        <f t="shared" si="2"/>
        <v>4275.3899999999994</v>
      </c>
      <c r="J27" s="85">
        <f t="shared" si="3"/>
        <v>3.0132651475553418</v>
      </c>
    </row>
    <row r="28" spans="1:11" s="69" customFormat="1" ht="21.75" customHeight="1" x14ac:dyDescent="0.25">
      <c r="A28" s="94" t="s">
        <v>23</v>
      </c>
      <c r="B28" s="95" t="s">
        <v>199</v>
      </c>
      <c r="C28" s="96">
        <v>108437</v>
      </c>
      <c r="D28" s="93">
        <v>106996</v>
      </c>
      <c r="E28" s="93">
        <v>124173</v>
      </c>
      <c r="F28" s="93">
        <v>126467.749</v>
      </c>
      <c r="G28" s="97">
        <v>15736</v>
      </c>
      <c r="H28" s="98">
        <f t="shared" si="1"/>
        <v>1.1451165192692532</v>
      </c>
      <c r="I28" s="97">
        <f t="shared" si="2"/>
        <v>19471.748999999996</v>
      </c>
      <c r="J28" s="98">
        <f t="shared" si="3"/>
        <v>1.1819857658230213</v>
      </c>
    </row>
    <row r="29" spans="1:11" s="68" customFormat="1" ht="21.75" customHeight="1" x14ac:dyDescent="0.2">
      <c r="A29" s="77" t="s">
        <v>35</v>
      </c>
      <c r="B29" s="78" t="s">
        <v>71</v>
      </c>
      <c r="C29" s="80">
        <v>5730</v>
      </c>
      <c r="D29" s="80">
        <v>5730</v>
      </c>
      <c r="E29" s="80">
        <v>7063</v>
      </c>
      <c r="F29" s="80">
        <v>7063</v>
      </c>
      <c r="G29" s="84">
        <f t="shared" si="0"/>
        <v>1333</v>
      </c>
      <c r="H29" s="85">
        <f t="shared" si="1"/>
        <v>1.2326352530541012</v>
      </c>
      <c r="I29" s="84">
        <f t="shared" si="2"/>
        <v>1333</v>
      </c>
      <c r="J29" s="81">
        <f t="shared" si="3"/>
        <v>1.2326352530541012</v>
      </c>
    </row>
    <row r="30" spans="1:11" s="68" customFormat="1" ht="21.75" customHeight="1" x14ac:dyDescent="0.2">
      <c r="A30" s="77" t="s">
        <v>68</v>
      </c>
      <c r="B30" s="78" t="s">
        <v>201</v>
      </c>
      <c r="C30" s="80">
        <v>0</v>
      </c>
      <c r="D30" s="80">
        <v>6774.31</v>
      </c>
      <c r="E30" s="80"/>
      <c r="F30" s="80">
        <v>5355</v>
      </c>
      <c r="G30" s="84">
        <f t="shared" si="0"/>
        <v>0</v>
      </c>
      <c r="H30" s="85"/>
      <c r="I30" s="84">
        <f t="shared" si="2"/>
        <v>-1419.3100000000004</v>
      </c>
      <c r="J30" s="81">
        <f t="shared" si="3"/>
        <v>0.79048641116217</v>
      </c>
    </row>
    <row r="31" spans="1:11" s="68" customFormat="1" ht="21.75" customHeight="1" x14ac:dyDescent="0.2">
      <c r="A31" s="77" t="s">
        <v>18</v>
      </c>
      <c r="B31" s="78" t="s">
        <v>202</v>
      </c>
      <c r="C31" s="80">
        <f>C32+C35+C55</f>
        <v>33171</v>
      </c>
      <c r="D31" s="80">
        <f>D32+D35+D55</f>
        <v>33171</v>
      </c>
      <c r="E31" s="80">
        <f>E32+E35+E55</f>
        <v>8098</v>
      </c>
      <c r="F31" s="80">
        <f>F32+F35+F55</f>
        <v>8098</v>
      </c>
      <c r="G31" s="79">
        <f t="shared" si="0"/>
        <v>-25073</v>
      </c>
      <c r="H31" s="81">
        <f t="shared" si="1"/>
        <v>0.24412890778089294</v>
      </c>
      <c r="I31" s="79">
        <f t="shared" si="2"/>
        <v>-25073</v>
      </c>
      <c r="J31" s="81">
        <f t="shared" si="3"/>
        <v>0.24412890778089294</v>
      </c>
    </row>
    <row r="32" spans="1:11" s="68" customFormat="1" ht="28.5" customHeight="1" x14ac:dyDescent="0.2">
      <c r="A32" s="77" t="s">
        <v>19</v>
      </c>
      <c r="B32" s="78" t="s">
        <v>203</v>
      </c>
      <c r="C32" s="80">
        <f>SUM(C33:C34)</f>
        <v>0</v>
      </c>
      <c r="D32" s="80">
        <f>SUM(D33:D34)</f>
        <v>0</v>
      </c>
      <c r="E32" s="80">
        <f>SUM(E33:E34)</f>
        <v>0</v>
      </c>
      <c r="F32" s="80">
        <f>SUM(F33:F34)</f>
        <v>0</v>
      </c>
      <c r="G32" s="84">
        <f t="shared" si="0"/>
        <v>0</v>
      </c>
      <c r="H32" s="85"/>
      <c r="I32" s="84">
        <f t="shared" si="2"/>
        <v>0</v>
      </c>
      <c r="J32" s="85"/>
    </row>
    <row r="33" spans="1:11" s="66" customFormat="1" ht="21.75" hidden="1" customHeight="1" x14ac:dyDescent="0.25">
      <c r="A33" s="86" t="s">
        <v>23</v>
      </c>
      <c r="B33" s="87" t="s">
        <v>204</v>
      </c>
      <c r="C33" s="32"/>
      <c r="D33" s="32"/>
      <c r="E33" s="32"/>
      <c r="F33" s="32"/>
      <c r="G33" s="84">
        <f t="shared" si="0"/>
        <v>0</v>
      </c>
      <c r="H33" s="85"/>
      <c r="I33" s="84">
        <f t="shared" si="2"/>
        <v>0</v>
      </c>
      <c r="J33" s="85"/>
    </row>
    <row r="34" spans="1:11" s="66" customFormat="1" ht="21.75" hidden="1" customHeight="1" x14ac:dyDescent="0.25">
      <c r="A34" s="86" t="s">
        <v>23</v>
      </c>
      <c r="B34" s="87" t="s">
        <v>206</v>
      </c>
      <c r="C34" s="99"/>
      <c r="D34" s="99"/>
      <c r="E34" s="99"/>
      <c r="F34" s="99"/>
      <c r="G34" s="84">
        <f t="shared" si="0"/>
        <v>0</v>
      </c>
      <c r="H34" s="85"/>
      <c r="I34" s="84">
        <f t="shared" si="2"/>
        <v>0</v>
      </c>
      <c r="J34" s="85"/>
    </row>
    <row r="35" spans="1:11" s="68" customFormat="1" ht="30.75" customHeight="1" x14ac:dyDescent="0.2">
      <c r="A35" s="100" t="s">
        <v>29</v>
      </c>
      <c r="B35" s="101" t="s">
        <v>208</v>
      </c>
      <c r="C35" s="102">
        <f>C36+C38</f>
        <v>12253</v>
      </c>
      <c r="D35" s="102">
        <f>D36+D38</f>
        <v>12253</v>
      </c>
      <c r="E35" s="102">
        <f>E36+E38</f>
        <v>8098</v>
      </c>
      <c r="F35" s="102">
        <f>F36+F38</f>
        <v>8098</v>
      </c>
      <c r="G35" s="79">
        <f t="shared" si="0"/>
        <v>-4155</v>
      </c>
      <c r="H35" s="81">
        <f t="shared" si="1"/>
        <v>0.66089937158246959</v>
      </c>
      <c r="I35" s="79">
        <f t="shared" si="2"/>
        <v>-4155</v>
      </c>
      <c r="J35" s="81">
        <f t="shared" si="3"/>
        <v>0.66089937158246959</v>
      </c>
    </row>
    <row r="36" spans="1:11" s="66" customFormat="1" ht="21.75" customHeight="1" x14ac:dyDescent="0.25">
      <c r="A36" s="527">
        <v>1</v>
      </c>
      <c r="B36" s="528" t="s">
        <v>210</v>
      </c>
      <c r="C36" s="32">
        <f>SUM(C37:C37)</f>
        <v>90</v>
      </c>
      <c r="D36" s="32">
        <f>SUM(D37:D37)</f>
        <v>90</v>
      </c>
      <c r="E36" s="32">
        <f>SUM(E37:E37)</f>
        <v>120</v>
      </c>
      <c r="F36" s="32">
        <f>SUM(F37:F37)</f>
        <v>120</v>
      </c>
      <c r="G36" s="84">
        <f t="shared" si="0"/>
        <v>30</v>
      </c>
      <c r="H36" s="85">
        <f t="shared" si="1"/>
        <v>1.3333333333333333</v>
      </c>
      <c r="I36" s="84">
        <f t="shared" si="2"/>
        <v>30</v>
      </c>
      <c r="J36" s="85">
        <f t="shared" si="3"/>
        <v>1.3333333333333333</v>
      </c>
    </row>
    <row r="37" spans="1:11" s="66" customFormat="1" ht="30" customHeight="1" x14ac:dyDescent="0.25">
      <c r="A37" s="86" t="s">
        <v>23</v>
      </c>
      <c r="B37" s="104" t="s">
        <v>212</v>
      </c>
      <c r="C37" s="32">
        <v>90</v>
      </c>
      <c r="D37" s="32">
        <v>90</v>
      </c>
      <c r="E37" s="32">
        <v>120</v>
      </c>
      <c r="F37" s="32">
        <v>120</v>
      </c>
      <c r="G37" s="84">
        <f t="shared" si="0"/>
        <v>30</v>
      </c>
      <c r="H37" s="85">
        <f t="shared" si="1"/>
        <v>1.3333333333333333</v>
      </c>
      <c r="I37" s="84">
        <f t="shared" si="2"/>
        <v>30</v>
      </c>
      <c r="J37" s="85">
        <f t="shared" si="3"/>
        <v>1.3333333333333333</v>
      </c>
    </row>
    <row r="38" spans="1:11" s="68" customFormat="1" ht="21.75" customHeight="1" x14ac:dyDescent="0.2">
      <c r="A38" s="77">
        <v>2</v>
      </c>
      <c r="B38" s="78" t="s">
        <v>214</v>
      </c>
      <c r="C38" s="80">
        <f>SUM(C39:C54)</f>
        <v>12163</v>
      </c>
      <c r="D38" s="80">
        <f>SUM(D39:D54)</f>
        <v>12163</v>
      </c>
      <c r="E38" s="80">
        <f>SUM(E39:E54)</f>
        <v>7978</v>
      </c>
      <c r="F38" s="80">
        <f>SUM(F39:F54)</f>
        <v>7978</v>
      </c>
      <c r="G38" s="79">
        <f t="shared" si="0"/>
        <v>-4185</v>
      </c>
      <c r="H38" s="81">
        <f t="shared" si="1"/>
        <v>0.65592370303379099</v>
      </c>
      <c r="I38" s="79">
        <f t="shared" si="2"/>
        <v>-4185</v>
      </c>
      <c r="J38" s="81">
        <f t="shared" si="3"/>
        <v>0.65592370303379099</v>
      </c>
    </row>
    <row r="39" spans="1:11" s="66" customFormat="1" ht="21.75" customHeight="1" x14ac:dyDescent="0.25">
      <c r="A39" s="86" t="s">
        <v>23</v>
      </c>
      <c r="B39" s="105" t="s">
        <v>215</v>
      </c>
      <c r="C39" s="32"/>
      <c r="D39" s="32"/>
      <c r="E39" s="32"/>
      <c r="F39" s="32"/>
      <c r="G39" s="84">
        <f t="shared" si="0"/>
        <v>0</v>
      </c>
      <c r="H39" s="85"/>
      <c r="I39" s="84">
        <f t="shared" si="2"/>
        <v>0</v>
      </c>
      <c r="J39" s="85"/>
      <c r="K39" s="70"/>
    </row>
    <row r="40" spans="1:11" s="66" customFormat="1" ht="21.75" customHeight="1" x14ac:dyDescent="0.25">
      <c r="A40" s="86" t="s">
        <v>23</v>
      </c>
      <c r="B40" s="105" t="s">
        <v>547</v>
      </c>
      <c r="C40" s="32"/>
      <c r="D40" s="32"/>
      <c r="E40" s="32">
        <v>2500</v>
      </c>
      <c r="F40" s="32">
        <v>2500</v>
      </c>
      <c r="G40" s="84">
        <f t="shared" si="0"/>
        <v>2500</v>
      </c>
      <c r="H40" s="85"/>
      <c r="I40" s="84">
        <f t="shared" si="2"/>
        <v>2500</v>
      </c>
      <c r="J40" s="85"/>
    </row>
    <row r="41" spans="1:11" s="66" customFormat="1" ht="21.75" customHeight="1" x14ac:dyDescent="0.25">
      <c r="A41" s="86" t="s">
        <v>23</v>
      </c>
      <c r="B41" s="106" t="s">
        <v>548</v>
      </c>
      <c r="C41" s="32">
        <v>2330</v>
      </c>
      <c r="D41" s="32">
        <v>2330</v>
      </c>
      <c r="E41" s="32">
        <v>2330</v>
      </c>
      <c r="F41" s="32">
        <v>2330</v>
      </c>
      <c r="G41" s="84">
        <f t="shared" si="0"/>
        <v>0</v>
      </c>
      <c r="H41" s="85">
        <f t="shared" si="1"/>
        <v>1</v>
      </c>
      <c r="I41" s="84">
        <f t="shared" si="2"/>
        <v>0</v>
      </c>
      <c r="J41" s="85">
        <f t="shared" si="3"/>
        <v>1</v>
      </c>
    </row>
    <row r="42" spans="1:11" s="66" customFormat="1" ht="45" x14ac:dyDescent="0.25">
      <c r="A42" s="86" t="s">
        <v>23</v>
      </c>
      <c r="B42" s="107" t="s">
        <v>407</v>
      </c>
      <c r="C42" s="32">
        <v>770</v>
      </c>
      <c r="D42" s="32">
        <v>770</v>
      </c>
      <c r="E42" s="32">
        <v>770</v>
      </c>
      <c r="F42" s="32">
        <v>770</v>
      </c>
      <c r="G42" s="84">
        <f t="shared" si="0"/>
        <v>0</v>
      </c>
      <c r="H42" s="85">
        <f t="shared" si="1"/>
        <v>1</v>
      </c>
      <c r="I42" s="84">
        <f t="shared" si="2"/>
        <v>0</v>
      </c>
      <c r="J42" s="85">
        <f t="shared" si="3"/>
        <v>1</v>
      </c>
    </row>
    <row r="43" spans="1:11" s="66" customFormat="1" x14ac:dyDescent="0.25">
      <c r="A43" s="86" t="s">
        <v>23</v>
      </c>
      <c r="B43" s="108" t="s">
        <v>216</v>
      </c>
      <c r="C43" s="32">
        <v>1000</v>
      </c>
      <c r="D43" s="32">
        <v>1000</v>
      </c>
      <c r="E43" s="32">
        <f>1000+827</f>
        <v>1827</v>
      </c>
      <c r="F43" s="32">
        <v>1827</v>
      </c>
      <c r="G43" s="84">
        <f t="shared" si="0"/>
        <v>827</v>
      </c>
      <c r="H43" s="85">
        <f t="shared" si="1"/>
        <v>1.827</v>
      </c>
      <c r="I43" s="84">
        <f t="shared" si="2"/>
        <v>827</v>
      </c>
      <c r="J43" s="85">
        <f t="shared" si="3"/>
        <v>1.827</v>
      </c>
    </row>
    <row r="44" spans="1:11" s="66" customFormat="1" ht="30" x14ac:dyDescent="0.25">
      <c r="A44" s="86" t="s">
        <v>23</v>
      </c>
      <c r="B44" s="108" t="s">
        <v>549</v>
      </c>
      <c r="C44" s="32">
        <v>824</v>
      </c>
      <c r="D44" s="32">
        <v>824</v>
      </c>
      <c r="E44" s="32"/>
      <c r="F44" s="32"/>
      <c r="G44" s="84">
        <f t="shared" si="0"/>
        <v>-824</v>
      </c>
      <c r="H44" s="85">
        <f t="shared" si="1"/>
        <v>0</v>
      </c>
      <c r="I44" s="84">
        <f t="shared" si="2"/>
        <v>-824</v>
      </c>
      <c r="J44" s="85">
        <f t="shared" si="3"/>
        <v>0</v>
      </c>
    </row>
    <row r="45" spans="1:11" s="66" customFormat="1" x14ac:dyDescent="0.25">
      <c r="A45" s="86" t="s">
        <v>23</v>
      </c>
      <c r="B45" s="109" t="s">
        <v>217</v>
      </c>
      <c r="C45" s="32">
        <v>539</v>
      </c>
      <c r="D45" s="32">
        <v>539</v>
      </c>
      <c r="E45" s="32"/>
      <c r="F45" s="32"/>
      <c r="G45" s="84">
        <f t="shared" si="0"/>
        <v>-539</v>
      </c>
      <c r="H45" s="85">
        <f t="shared" si="1"/>
        <v>0</v>
      </c>
      <c r="I45" s="84">
        <f t="shared" si="2"/>
        <v>-539</v>
      </c>
      <c r="J45" s="85">
        <f t="shared" si="3"/>
        <v>0</v>
      </c>
    </row>
    <row r="46" spans="1:11" s="66" customFormat="1" x14ac:dyDescent="0.25">
      <c r="A46" s="86" t="s">
        <v>23</v>
      </c>
      <c r="B46" s="109" t="s">
        <v>550</v>
      </c>
      <c r="C46" s="32">
        <v>350</v>
      </c>
      <c r="D46" s="32">
        <v>350</v>
      </c>
      <c r="E46" s="32"/>
      <c r="F46" s="32"/>
      <c r="G46" s="84">
        <f t="shared" si="0"/>
        <v>-350</v>
      </c>
      <c r="H46" s="85">
        <f t="shared" si="1"/>
        <v>0</v>
      </c>
      <c r="I46" s="84">
        <f t="shared" si="2"/>
        <v>-350</v>
      </c>
      <c r="J46" s="85">
        <f t="shared" si="3"/>
        <v>0</v>
      </c>
    </row>
    <row r="47" spans="1:11" s="66" customFormat="1" ht="30" x14ac:dyDescent="0.25">
      <c r="A47" s="86" t="s">
        <v>23</v>
      </c>
      <c r="B47" s="110" t="s">
        <v>551</v>
      </c>
      <c r="C47" s="32">
        <v>200</v>
      </c>
      <c r="D47" s="32">
        <v>200</v>
      </c>
      <c r="E47" s="32"/>
      <c r="F47" s="32"/>
      <c r="G47" s="84">
        <f t="shared" si="0"/>
        <v>-200</v>
      </c>
      <c r="H47" s="85">
        <f t="shared" si="1"/>
        <v>0</v>
      </c>
      <c r="I47" s="84">
        <f t="shared" si="2"/>
        <v>-200</v>
      </c>
      <c r="J47" s="85">
        <f t="shared" si="3"/>
        <v>0</v>
      </c>
    </row>
    <row r="48" spans="1:11" s="66" customFormat="1" x14ac:dyDescent="0.25">
      <c r="A48" s="86" t="s">
        <v>23</v>
      </c>
      <c r="B48" s="110" t="s">
        <v>552</v>
      </c>
      <c r="C48" s="32">
        <v>800</v>
      </c>
      <c r="D48" s="32">
        <v>800</v>
      </c>
      <c r="E48" s="32"/>
      <c r="F48" s="32"/>
      <c r="G48" s="84">
        <f t="shared" si="0"/>
        <v>-800</v>
      </c>
      <c r="H48" s="85">
        <f t="shared" si="1"/>
        <v>0</v>
      </c>
      <c r="I48" s="84">
        <f t="shared" si="2"/>
        <v>-800</v>
      </c>
      <c r="J48" s="85">
        <f t="shared" si="3"/>
        <v>0</v>
      </c>
    </row>
    <row r="49" spans="1:10" s="66" customFormat="1" ht="30" x14ac:dyDescent="0.25">
      <c r="A49" s="86" t="s">
        <v>23</v>
      </c>
      <c r="B49" s="111" t="s">
        <v>553</v>
      </c>
      <c r="C49" s="32">
        <v>1100</v>
      </c>
      <c r="D49" s="32">
        <v>1100</v>
      </c>
      <c r="E49" s="32">
        <v>500</v>
      </c>
      <c r="F49" s="32">
        <v>500</v>
      </c>
      <c r="G49" s="84">
        <f t="shared" si="0"/>
        <v>-600</v>
      </c>
      <c r="H49" s="85">
        <f t="shared" si="1"/>
        <v>0.45454545454545453</v>
      </c>
      <c r="I49" s="84">
        <f t="shared" si="2"/>
        <v>-600</v>
      </c>
      <c r="J49" s="85">
        <f t="shared" si="3"/>
        <v>0.45454545454545453</v>
      </c>
    </row>
    <row r="50" spans="1:10" s="66" customFormat="1" x14ac:dyDescent="0.25">
      <c r="A50" s="86" t="s">
        <v>23</v>
      </c>
      <c r="B50" s="112" t="s">
        <v>218</v>
      </c>
      <c r="C50" s="32">
        <v>2000</v>
      </c>
      <c r="D50" s="32">
        <v>2000</v>
      </c>
      <c r="E50" s="32"/>
      <c r="F50" s="32"/>
      <c r="G50" s="84">
        <f t="shared" si="0"/>
        <v>-2000</v>
      </c>
      <c r="H50" s="85">
        <f t="shared" si="1"/>
        <v>0</v>
      </c>
      <c r="I50" s="84">
        <f t="shared" si="2"/>
        <v>-2000</v>
      </c>
      <c r="J50" s="85">
        <f t="shared" si="3"/>
        <v>0</v>
      </c>
    </row>
    <row r="51" spans="1:10" s="66" customFormat="1" x14ac:dyDescent="0.25">
      <c r="A51" s="86" t="s">
        <v>23</v>
      </c>
      <c r="B51" s="104" t="s">
        <v>219</v>
      </c>
      <c r="C51" s="32">
        <v>500</v>
      </c>
      <c r="D51" s="32">
        <v>500</v>
      </c>
      <c r="E51" s="32"/>
      <c r="F51" s="32"/>
      <c r="G51" s="84">
        <f t="shared" si="0"/>
        <v>-500</v>
      </c>
      <c r="H51" s="85">
        <f t="shared" si="1"/>
        <v>0</v>
      </c>
      <c r="I51" s="84">
        <f t="shared" si="2"/>
        <v>-500</v>
      </c>
      <c r="J51" s="85">
        <f t="shared" si="3"/>
        <v>0</v>
      </c>
    </row>
    <row r="52" spans="1:10" s="66" customFormat="1" ht="30" x14ac:dyDescent="0.25">
      <c r="A52" s="86" t="s">
        <v>23</v>
      </c>
      <c r="B52" s="111" t="s">
        <v>220</v>
      </c>
      <c r="C52" s="32">
        <v>1690</v>
      </c>
      <c r="D52" s="32">
        <v>1690</v>
      </c>
      <c r="E52" s="32"/>
      <c r="F52" s="32"/>
      <c r="G52" s="84">
        <f t="shared" si="0"/>
        <v>-1690</v>
      </c>
      <c r="H52" s="85">
        <f t="shared" si="1"/>
        <v>0</v>
      </c>
      <c r="I52" s="84">
        <f t="shared" si="2"/>
        <v>-1690</v>
      </c>
      <c r="J52" s="85">
        <f t="shared" si="3"/>
        <v>0</v>
      </c>
    </row>
    <row r="53" spans="1:10" s="66" customFormat="1" ht="30" x14ac:dyDescent="0.25">
      <c r="A53" s="86" t="s">
        <v>23</v>
      </c>
      <c r="B53" s="104" t="s">
        <v>554</v>
      </c>
      <c r="C53" s="32">
        <v>60</v>
      </c>
      <c r="D53" s="32">
        <v>60</v>
      </c>
      <c r="E53" s="32"/>
      <c r="F53" s="32"/>
      <c r="G53" s="84">
        <f t="shared" si="0"/>
        <v>-60</v>
      </c>
      <c r="H53" s="85">
        <f t="shared" si="1"/>
        <v>0</v>
      </c>
      <c r="I53" s="84">
        <f t="shared" si="2"/>
        <v>-60</v>
      </c>
      <c r="J53" s="85">
        <f t="shared" si="3"/>
        <v>0</v>
      </c>
    </row>
    <row r="54" spans="1:10" s="66" customFormat="1" x14ac:dyDescent="0.25">
      <c r="A54" s="86" t="s">
        <v>23</v>
      </c>
      <c r="B54" s="111" t="s">
        <v>555</v>
      </c>
      <c r="C54" s="32"/>
      <c r="D54" s="32"/>
      <c r="E54" s="32">
        <v>51</v>
      </c>
      <c r="F54" s="32">
        <v>51</v>
      </c>
      <c r="G54" s="84">
        <f t="shared" si="0"/>
        <v>51</v>
      </c>
      <c r="H54" s="85"/>
      <c r="I54" s="84">
        <f t="shared" si="2"/>
        <v>51</v>
      </c>
      <c r="J54" s="85"/>
    </row>
    <row r="55" spans="1:10" s="68" customFormat="1" ht="28.5" x14ac:dyDescent="0.2">
      <c r="A55" s="77">
        <v>3</v>
      </c>
      <c r="B55" s="78" t="s">
        <v>221</v>
      </c>
      <c r="C55" s="80">
        <f>C56+C71</f>
        <v>20918</v>
      </c>
      <c r="D55" s="80">
        <f>D56+D71</f>
        <v>20918</v>
      </c>
      <c r="E55" s="80">
        <f>E56+E71</f>
        <v>0</v>
      </c>
      <c r="F55" s="80">
        <f>F56+F71</f>
        <v>0</v>
      </c>
      <c r="G55" s="84">
        <f t="shared" si="0"/>
        <v>-20918</v>
      </c>
      <c r="H55" s="85">
        <f t="shared" si="1"/>
        <v>0</v>
      </c>
      <c r="I55" s="84">
        <f t="shared" si="2"/>
        <v>-20918</v>
      </c>
      <c r="J55" s="85">
        <f t="shared" si="3"/>
        <v>0</v>
      </c>
    </row>
    <row r="56" spans="1:10" s="66" customFormat="1" x14ac:dyDescent="0.25">
      <c r="A56" s="103" t="s">
        <v>222</v>
      </c>
      <c r="B56" s="87" t="s">
        <v>223</v>
      </c>
      <c r="C56" s="32">
        <f>C57+C60+C61+C62+C63+C64+C67</f>
        <v>7669</v>
      </c>
      <c r="D56" s="32">
        <f>D57+D60+D61+D62+D63+D64+D67</f>
        <v>7669</v>
      </c>
      <c r="E56" s="32">
        <f>E57+E60+E61+E62+E63+E64+E67</f>
        <v>0</v>
      </c>
      <c r="F56" s="32">
        <f>F57+F60+F61+F62+F63+F64+F67</f>
        <v>0</v>
      </c>
      <c r="G56" s="84">
        <f t="shared" si="0"/>
        <v>-7669</v>
      </c>
      <c r="H56" s="85">
        <f t="shared" si="1"/>
        <v>0</v>
      </c>
      <c r="I56" s="84">
        <f t="shared" si="2"/>
        <v>-7669</v>
      </c>
      <c r="J56" s="85">
        <f t="shared" si="3"/>
        <v>0</v>
      </c>
    </row>
    <row r="57" spans="1:10" s="66" customFormat="1" x14ac:dyDescent="0.25">
      <c r="A57" s="86" t="s">
        <v>23</v>
      </c>
      <c r="B57" s="109" t="s">
        <v>224</v>
      </c>
      <c r="C57" s="113">
        <f>SUM(C58:C59)</f>
        <v>2533</v>
      </c>
      <c r="D57" s="113">
        <f>SUM(D58:D59)</f>
        <v>2533</v>
      </c>
      <c r="E57" s="113">
        <f>SUM(E58:E59)</f>
        <v>0</v>
      </c>
      <c r="F57" s="113">
        <f>SUM(F58:F59)</f>
        <v>0</v>
      </c>
      <c r="G57" s="84">
        <f t="shared" si="0"/>
        <v>-2533</v>
      </c>
      <c r="H57" s="85">
        <f t="shared" si="1"/>
        <v>0</v>
      </c>
      <c r="I57" s="84">
        <f t="shared" si="2"/>
        <v>-2533</v>
      </c>
      <c r="J57" s="85">
        <f t="shared" si="3"/>
        <v>0</v>
      </c>
    </row>
    <row r="58" spans="1:10" s="66" customFormat="1" ht="30" x14ac:dyDescent="0.25">
      <c r="A58" s="86" t="s">
        <v>205</v>
      </c>
      <c r="B58" s="109" t="s">
        <v>556</v>
      </c>
      <c r="C58" s="114">
        <f>2533</f>
        <v>2533</v>
      </c>
      <c r="D58" s="99">
        <f>2533</f>
        <v>2533</v>
      </c>
      <c r="E58" s="99"/>
      <c r="F58" s="99"/>
      <c r="G58" s="84">
        <f t="shared" si="0"/>
        <v>-2533</v>
      </c>
      <c r="H58" s="85">
        <f t="shared" si="1"/>
        <v>0</v>
      </c>
      <c r="I58" s="84">
        <f t="shared" si="2"/>
        <v>-2533</v>
      </c>
      <c r="J58" s="85">
        <f t="shared" si="3"/>
        <v>0</v>
      </c>
    </row>
    <row r="59" spans="1:10" s="66" customFormat="1" ht="45" x14ac:dyDescent="0.25">
      <c r="A59" s="86" t="s">
        <v>205</v>
      </c>
      <c r="B59" s="115" t="s">
        <v>225</v>
      </c>
      <c r="C59" s="32"/>
      <c r="D59" s="32"/>
      <c r="E59" s="32"/>
      <c r="F59" s="32"/>
      <c r="G59" s="84">
        <f t="shared" si="0"/>
        <v>0</v>
      </c>
      <c r="H59" s="85"/>
      <c r="I59" s="84">
        <f t="shared" si="2"/>
        <v>0</v>
      </c>
      <c r="J59" s="85"/>
    </row>
    <row r="60" spans="1:10" s="66" customFormat="1" x14ac:dyDescent="0.25">
      <c r="A60" s="86" t="s">
        <v>23</v>
      </c>
      <c r="B60" s="105" t="s">
        <v>557</v>
      </c>
      <c r="C60" s="32">
        <v>400</v>
      </c>
      <c r="D60" s="32">
        <v>400</v>
      </c>
      <c r="E60" s="32"/>
      <c r="F60" s="32"/>
      <c r="G60" s="84">
        <f t="shared" si="0"/>
        <v>-400</v>
      </c>
      <c r="H60" s="85">
        <f t="shared" si="1"/>
        <v>0</v>
      </c>
      <c r="I60" s="84">
        <f t="shared" si="2"/>
        <v>-400</v>
      </c>
      <c r="J60" s="85">
        <f t="shared" si="3"/>
        <v>0</v>
      </c>
    </row>
    <row r="61" spans="1:10" s="66" customFormat="1" x14ac:dyDescent="0.25">
      <c r="A61" s="86" t="s">
        <v>23</v>
      </c>
      <c r="B61" s="105" t="s">
        <v>227</v>
      </c>
      <c r="C61" s="116">
        <v>228</v>
      </c>
      <c r="D61" s="117">
        <v>228</v>
      </c>
      <c r="E61" s="117"/>
      <c r="F61" s="117"/>
      <c r="G61" s="84">
        <f t="shared" si="0"/>
        <v>-228</v>
      </c>
      <c r="H61" s="85">
        <f t="shared" si="1"/>
        <v>0</v>
      </c>
      <c r="I61" s="84">
        <f t="shared" si="2"/>
        <v>-228</v>
      </c>
      <c r="J61" s="85">
        <f t="shared" si="3"/>
        <v>0</v>
      </c>
    </row>
    <row r="62" spans="1:10" s="66" customFormat="1" ht="30" x14ac:dyDescent="0.25">
      <c r="A62" s="86" t="s">
        <v>23</v>
      </c>
      <c r="B62" s="111" t="s">
        <v>558</v>
      </c>
      <c r="C62" s="116">
        <v>423</v>
      </c>
      <c r="D62" s="117">
        <v>423</v>
      </c>
      <c r="E62" s="117"/>
      <c r="F62" s="117"/>
      <c r="G62" s="84">
        <f t="shared" si="0"/>
        <v>-423</v>
      </c>
      <c r="H62" s="85">
        <f t="shared" si="1"/>
        <v>0</v>
      </c>
      <c r="I62" s="84">
        <f t="shared" si="2"/>
        <v>-423</v>
      </c>
      <c r="J62" s="85">
        <f t="shared" si="3"/>
        <v>0</v>
      </c>
    </row>
    <row r="63" spans="1:10" s="66" customFormat="1" x14ac:dyDescent="0.25">
      <c r="A63" s="86" t="s">
        <v>23</v>
      </c>
      <c r="B63" s="106" t="s">
        <v>228</v>
      </c>
      <c r="C63" s="116">
        <v>2044</v>
      </c>
      <c r="D63" s="117">
        <v>2044</v>
      </c>
      <c r="E63" s="117"/>
      <c r="F63" s="117"/>
      <c r="G63" s="84">
        <f t="shared" si="0"/>
        <v>-2044</v>
      </c>
      <c r="H63" s="85">
        <f t="shared" si="1"/>
        <v>0</v>
      </c>
      <c r="I63" s="84">
        <f t="shared" si="2"/>
        <v>-2044</v>
      </c>
      <c r="J63" s="85">
        <f t="shared" si="3"/>
        <v>0</v>
      </c>
    </row>
    <row r="64" spans="1:10" s="66" customFormat="1" ht="60" x14ac:dyDescent="0.25">
      <c r="A64" s="86" t="s">
        <v>23</v>
      </c>
      <c r="B64" s="109" t="s">
        <v>229</v>
      </c>
      <c r="C64" s="113">
        <f>SUM(C65:C66)</f>
        <v>314</v>
      </c>
      <c r="D64" s="113">
        <f>SUM(D65:D66)</f>
        <v>314</v>
      </c>
      <c r="E64" s="113">
        <f>SUM(E65:E66)</f>
        <v>0</v>
      </c>
      <c r="F64" s="113">
        <f>SUM(F65:F66)</f>
        <v>0</v>
      </c>
      <c r="G64" s="84">
        <f t="shared" si="0"/>
        <v>-314</v>
      </c>
      <c r="H64" s="85">
        <f t="shared" si="1"/>
        <v>0</v>
      </c>
      <c r="I64" s="84">
        <f t="shared" si="2"/>
        <v>-314</v>
      </c>
      <c r="J64" s="85">
        <f t="shared" si="3"/>
        <v>0</v>
      </c>
    </row>
    <row r="65" spans="1:10" s="66" customFormat="1" ht="30" x14ac:dyDescent="0.25">
      <c r="A65" s="86" t="s">
        <v>205</v>
      </c>
      <c r="B65" s="109" t="s">
        <v>230</v>
      </c>
      <c r="C65" s="32">
        <v>200</v>
      </c>
      <c r="D65" s="32">
        <v>200</v>
      </c>
      <c r="E65" s="32"/>
      <c r="F65" s="32"/>
      <c r="G65" s="84">
        <f t="shared" si="0"/>
        <v>-200</v>
      </c>
      <c r="H65" s="85">
        <f t="shared" si="1"/>
        <v>0</v>
      </c>
      <c r="I65" s="84">
        <f t="shared" si="2"/>
        <v>-200</v>
      </c>
      <c r="J65" s="85">
        <f t="shared" si="3"/>
        <v>0</v>
      </c>
    </row>
    <row r="66" spans="1:10" s="66" customFormat="1" ht="30" x14ac:dyDescent="0.25">
      <c r="A66" s="86" t="s">
        <v>205</v>
      </c>
      <c r="B66" s="109" t="s">
        <v>231</v>
      </c>
      <c r="C66" s="32">
        <v>114</v>
      </c>
      <c r="D66" s="32">
        <v>114</v>
      </c>
      <c r="E66" s="32"/>
      <c r="F66" s="32"/>
      <c r="G66" s="84">
        <f t="shared" si="0"/>
        <v>-114</v>
      </c>
      <c r="H66" s="85">
        <f t="shared" si="1"/>
        <v>0</v>
      </c>
      <c r="I66" s="84">
        <f t="shared" si="2"/>
        <v>-114</v>
      </c>
      <c r="J66" s="85">
        <f t="shared" si="3"/>
        <v>0</v>
      </c>
    </row>
    <row r="67" spans="1:10" s="66" customFormat="1" ht="90" x14ac:dyDescent="0.25">
      <c r="A67" s="86" t="s">
        <v>23</v>
      </c>
      <c r="B67" s="109" t="s">
        <v>232</v>
      </c>
      <c r="C67" s="113">
        <f>SUM(C68:C70)</f>
        <v>1727</v>
      </c>
      <c r="D67" s="113">
        <f>SUM(D68:D70)</f>
        <v>1727</v>
      </c>
      <c r="E67" s="113">
        <f>SUM(E68:E70)</f>
        <v>0</v>
      </c>
      <c r="F67" s="113">
        <f>SUM(F68:F70)</f>
        <v>0</v>
      </c>
      <c r="G67" s="84">
        <f t="shared" si="0"/>
        <v>-1727</v>
      </c>
      <c r="H67" s="85">
        <f t="shared" si="1"/>
        <v>0</v>
      </c>
      <c r="I67" s="84">
        <f t="shared" si="2"/>
        <v>-1727</v>
      </c>
      <c r="J67" s="85">
        <f t="shared" si="3"/>
        <v>0</v>
      </c>
    </row>
    <row r="68" spans="1:10" s="66" customFormat="1" ht="30" x14ac:dyDescent="0.25">
      <c r="A68" s="86" t="s">
        <v>205</v>
      </c>
      <c r="B68" s="109" t="s">
        <v>233</v>
      </c>
      <c r="C68" s="32">
        <v>1140</v>
      </c>
      <c r="D68" s="32">
        <v>1140</v>
      </c>
      <c r="E68" s="32"/>
      <c r="F68" s="32"/>
      <c r="G68" s="84">
        <f t="shared" si="0"/>
        <v>-1140</v>
      </c>
      <c r="H68" s="85">
        <f t="shared" si="1"/>
        <v>0</v>
      </c>
      <c r="I68" s="84">
        <f t="shared" si="2"/>
        <v>-1140</v>
      </c>
      <c r="J68" s="85">
        <f t="shared" si="3"/>
        <v>0</v>
      </c>
    </row>
    <row r="69" spans="1:10" s="66" customFormat="1" ht="30" x14ac:dyDescent="0.25">
      <c r="A69" s="86" t="s">
        <v>205</v>
      </c>
      <c r="B69" s="109" t="s">
        <v>234</v>
      </c>
      <c r="C69" s="32">
        <v>508</v>
      </c>
      <c r="D69" s="32">
        <v>508</v>
      </c>
      <c r="E69" s="32"/>
      <c r="F69" s="32"/>
      <c r="G69" s="84">
        <f t="shared" si="0"/>
        <v>-508</v>
      </c>
      <c r="H69" s="85">
        <f t="shared" si="1"/>
        <v>0</v>
      </c>
      <c r="I69" s="84">
        <f t="shared" si="2"/>
        <v>-508</v>
      </c>
      <c r="J69" s="85">
        <f t="shared" si="3"/>
        <v>0</v>
      </c>
    </row>
    <row r="70" spans="1:10" s="66" customFormat="1" ht="30" x14ac:dyDescent="0.25">
      <c r="A70" s="86" t="s">
        <v>205</v>
      </c>
      <c r="B70" s="109" t="s">
        <v>236</v>
      </c>
      <c r="C70" s="32">
        <v>79</v>
      </c>
      <c r="D70" s="32">
        <v>79</v>
      </c>
      <c r="E70" s="32"/>
      <c r="F70" s="32"/>
      <c r="G70" s="84">
        <f t="shared" si="0"/>
        <v>-79</v>
      </c>
      <c r="H70" s="85">
        <f t="shared" si="1"/>
        <v>0</v>
      </c>
      <c r="I70" s="84">
        <f t="shared" si="2"/>
        <v>-79</v>
      </c>
      <c r="J70" s="85">
        <f t="shared" si="3"/>
        <v>0</v>
      </c>
    </row>
    <row r="71" spans="1:10" s="66" customFormat="1" x14ac:dyDescent="0.25">
      <c r="A71" s="103" t="s">
        <v>240</v>
      </c>
      <c r="B71" s="87" t="s">
        <v>241</v>
      </c>
      <c r="C71" s="32">
        <f t="shared" ref="C71:F71" si="6">SUM(C72:C85)</f>
        <v>13249</v>
      </c>
      <c r="D71" s="32">
        <f t="shared" si="6"/>
        <v>13249</v>
      </c>
      <c r="E71" s="32">
        <f t="shared" si="6"/>
        <v>0</v>
      </c>
      <c r="F71" s="32">
        <f t="shared" si="6"/>
        <v>0</v>
      </c>
      <c r="G71" s="84">
        <f t="shared" si="0"/>
        <v>-13249</v>
      </c>
      <c r="H71" s="85">
        <f t="shared" si="1"/>
        <v>0</v>
      </c>
      <c r="I71" s="84">
        <f t="shared" si="2"/>
        <v>-13249</v>
      </c>
      <c r="J71" s="85">
        <f t="shared" si="3"/>
        <v>0</v>
      </c>
    </row>
    <row r="72" spans="1:10" s="66" customFormat="1" ht="30" x14ac:dyDescent="0.25">
      <c r="A72" s="86" t="s">
        <v>23</v>
      </c>
      <c r="B72" s="109" t="s">
        <v>242</v>
      </c>
      <c r="C72" s="32">
        <v>700</v>
      </c>
      <c r="D72" s="32">
        <v>700</v>
      </c>
      <c r="E72" s="32"/>
      <c r="F72" s="32"/>
      <c r="G72" s="84">
        <f t="shared" si="0"/>
        <v>-700</v>
      </c>
      <c r="H72" s="85">
        <f t="shared" si="1"/>
        <v>0</v>
      </c>
      <c r="I72" s="84">
        <f t="shared" si="2"/>
        <v>-700</v>
      </c>
      <c r="J72" s="85">
        <f t="shared" si="3"/>
        <v>0</v>
      </c>
    </row>
    <row r="73" spans="1:10" s="66" customFormat="1" ht="30" x14ac:dyDescent="0.25">
      <c r="A73" s="86" t="s">
        <v>23</v>
      </c>
      <c r="B73" s="111" t="s">
        <v>557</v>
      </c>
      <c r="C73" s="32">
        <v>720</v>
      </c>
      <c r="D73" s="32">
        <v>720</v>
      </c>
      <c r="E73" s="32"/>
      <c r="F73" s="32"/>
      <c r="G73" s="84">
        <f t="shared" ref="G73:G87" si="7">E73-C73</f>
        <v>-720</v>
      </c>
      <c r="H73" s="85">
        <f t="shared" ref="H73:H85" si="8">E73/C73</f>
        <v>0</v>
      </c>
      <c r="I73" s="84">
        <f t="shared" ref="I73:I87" si="9">F73-D73</f>
        <v>-720</v>
      </c>
      <c r="J73" s="85">
        <f t="shared" ref="J73:J85" si="10">F73/D73</f>
        <v>0</v>
      </c>
    </row>
    <row r="74" spans="1:10" s="66" customFormat="1" ht="30" x14ac:dyDescent="0.25">
      <c r="A74" s="86" t="s">
        <v>23</v>
      </c>
      <c r="B74" s="111" t="s">
        <v>226</v>
      </c>
      <c r="C74" s="32"/>
      <c r="D74" s="32"/>
      <c r="E74" s="32"/>
      <c r="F74" s="32"/>
      <c r="G74" s="84">
        <f t="shared" si="7"/>
        <v>0</v>
      </c>
      <c r="H74" s="85"/>
      <c r="I74" s="84">
        <f t="shared" si="9"/>
        <v>0</v>
      </c>
      <c r="J74" s="85"/>
    </row>
    <row r="75" spans="1:10" s="66" customFormat="1" ht="30" x14ac:dyDescent="0.25">
      <c r="A75" s="86" t="s">
        <v>23</v>
      </c>
      <c r="B75" s="111" t="s">
        <v>243</v>
      </c>
      <c r="C75" s="32">
        <v>72</v>
      </c>
      <c r="D75" s="32">
        <v>72</v>
      </c>
      <c r="E75" s="32"/>
      <c r="F75" s="32"/>
      <c r="G75" s="84">
        <f t="shared" si="7"/>
        <v>-72</v>
      </c>
      <c r="H75" s="85">
        <f t="shared" si="8"/>
        <v>0</v>
      </c>
      <c r="I75" s="84">
        <f t="shared" si="9"/>
        <v>-72</v>
      </c>
      <c r="J75" s="85">
        <f t="shared" si="10"/>
        <v>0</v>
      </c>
    </row>
    <row r="76" spans="1:10" s="66" customFormat="1" ht="30" x14ac:dyDescent="0.25">
      <c r="A76" s="86" t="s">
        <v>23</v>
      </c>
      <c r="B76" s="109" t="s">
        <v>233</v>
      </c>
      <c r="C76" s="32">
        <v>969</v>
      </c>
      <c r="D76" s="32">
        <v>969</v>
      </c>
      <c r="E76" s="32"/>
      <c r="F76" s="32"/>
      <c r="G76" s="84">
        <f t="shared" si="7"/>
        <v>-969</v>
      </c>
      <c r="H76" s="85">
        <f t="shared" si="8"/>
        <v>0</v>
      </c>
      <c r="I76" s="84">
        <f t="shared" si="9"/>
        <v>-969</v>
      </c>
      <c r="J76" s="85">
        <f t="shared" si="10"/>
        <v>0</v>
      </c>
    </row>
    <row r="77" spans="1:10" s="66" customFormat="1" ht="30" x14ac:dyDescent="0.25">
      <c r="A77" s="86" t="s">
        <v>23</v>
      </c>
      <c r="B77" s="104" t="s">
        <v>244</v>
      </c>
      <c r="C77" s="118"/>
      <c r="D77" s="118"/>
      <c r="E77" s="118"/>
      <c r="F77" s="118"/>
      <c r="G77" s="84">
        <f t="shared" si="7"/>
        <v>0</v>
      </c>
      <c r="H77" s="85"/>
      <c r="I77" s="84">
        <f t="shared" si="9"/>
        <v>0</v>
      </c>
      <c r="J77" s="85"/>
    </row>
    <row r="78" spans="1:10" s="66" customFormat="1" ht="30" x14ac:dyDescent="0.25">
      <c r="A78" s="86" t="s">
        <v>23</v>
      </c>
      <c r="B78" s="109" t="s">
        <v>235</v>
      </c>
      <c r="C78" s="32">
        <v>-969</v>
      </c>
      <c r="D78" s="32">
        <v>-969</v>
      </c>
      <c r="E78" s="32"/>
      <c r="F78" s="32"/>
      <c r="G78" s="84">
        <f t="shared" si="7"/>
        <v>969</v>
      </c>
      <c r="H78" s="85">
        <f t="shared" si="8"/>
        <v>0</v>
      </c>
      <c r="I78" s="84">
        <f t="shared" si="9"/>
        <v>969</v>
      </c>
      <c r="J78" s="85">
        <f t="shared" si="10"/>
        <v>0</v>
      </c>
    </row>
    <row r="79" spans="1:10" s="66" customFormat="1" ht="30" x14ac:dyDescent="0.25">
      <c r="A79" s="86" t="s">
        <v>23</v>
      </c>
      <c r="B79" s="104" t="s">
        <v>245</v>
      </c>
      <c r="C79" s="32">
        <v>399</v>
      </c>
      <c r="D79" s="32">
        <v>399</v>
      </c>
      <c r="E79" s="32"/>
      <c r="F79" s="32"/>
      <c r="G79" s="84">
        <f t="shared" si="7"/>
        <v>-399</v>
      </c>
      <c r="H79" s="85">
        <f t="shared" si="8"/>
        <v>0</v>
      </c>
      <c r="I79" s="84">
        <f t="shared" si="9"/>
        <v>-399</v>
      </c>
      <c r="J79" s="85">
        <f t="shared" si="10"/>
        <v>0</v>
      </c>
    </row>
    <row r="80" spans="1:10" s="66" customFormat="1" ht="30" x14ac:dyDescent="0.25">
      <c r="A80" s="86" t="s">
        <v>23</v>
      </c>
      <c r="B80" s="104" t="s">
        <v>246</v>
      </c>
      <c r="C80" s="32">
        <v>155</v>
      </c>
      <c r="D80" s="32">
        <v>155</v>
      </c>
      <c r="E80" s="32"/>
      <c r="F80" s="32"/>
      <c r="G80" s="84">
        <f t="shared" si="7"/>
        <v>-155</v>
      </c>
      <c r="H80" s="85">
        <f t="shared" si="8"/>
        <v>0</v>
      </c>
      <c r="I80" s="84">
        <f t="shared" si="9"/>
        <v>-155</v>
      </c>
      <c r="J80" s="85">
        <f t="shared" si="10"/>
        <v>0</v>
      </c>
    </row>
    <row r="81" spans="1:10" s="66" customFormat="1" x14ac:dyDescent="0.25">
      <c r="A81" s="86" t="s">
        <v>23</v>
      </c>
      <c r="B81" s="87" t="s">
        <v>238</v>
      </c>
      <c r="C81" s="32">
        <v>303</v>
      </c>
      <c r="D81" s="32">
        <v>303</v>
      </c>
      <c r="E81" s="32"/>
      <c r="F81" s="32"/>
      <c r="G81" s="84">
        <f t="shared" si="7"/>
        <v>-303</v>
      </c>
      <c r="H81" s="85">
        <f t="shared" si="8"/>
        <v>0</v>
      </c>
      <c r="I81" s="84">
        <f t="shared" si="9"/>
        <v>-303</v>
      </c>
      <c r="J81" s="85">
        <f t="shared" si="10"/>
        <v>0</v>
      </c>
    </row>
    <row r="82" spans="1:10" s="66" customFormat="1" ht="30" x14ac:dyDescent="0.25">
      <c r="A82" s="86" t="s">
        <v>23</v>
      </c>
      <c r="B82" s="104" t="s">
        <v>239</v>
      </c>
      <c r="C82" s="32">
        <v>221</v>
      </c>
      <c r="D82" s="32">
        <v>221</v>
      </c>
      <c r="E82" s="32"/>
      <c r="F82" s="32"/>
      <c r="G82" s="84">
        <f t="shared" si="7"/>
        <v>-221</v>
      </c>
      <c r="H82" s="85">
        <f t="shared" si="8"/>
        <v>0</v>
      </c>
      <c r="I82" s="84">
        <f t="shared" si="9"/>
        <v>-221</v>
      </c>
      <c r="J82" s="85">
        <f t="shared" si="10"/>
        <v>0</v>
      </c>
    </row>
    <row r="83" spans="1:10" s="66" customFormat="1" ht="30" x14ac:dyDescent="0.25">
      <c r="A83" s="86" t="s">
        <v>23</v>
      </c>
      <c r="B83" s="104" t="s">
        <v>559</v>
      </c>
      <c r="C83" s="32">
        <v>10377</v>
      </c>
      <c r="D83" s="32">
        <v>10377</v>
      </c>
      <c r="E83" s="32"/>
      <c r="F83" s="32"/>
      <c r="G83" s="84">
        <f t="shared" si="7"/>
        <v>-10377</v>
      </c>
      <c r="H83" s="85">
        <f t="shared" si="8"/>
        <v>0</v>
      </c>
      <c r="I83" s="84">
        <f t="shared" si="9"/>
        <v>-10377</v>
      </c>
      <c r="J83" s="85">
        <f t="shared" si="10"/>
        <v>0</v>
      </c>
    </row>
    <row r="84" spans="1:10" s="66" customFormat="1" x14ac:dyDescent="0.25">
      <c r="A84" s="86" t="s">
        <v>23</v>
      </c>
      <c r="B84" s="87" t="s">
        <v>560</v>
      </c>
      <c r="C84" s="32">
        <f>-56</f>
        <v>-56</v>
      </c>
      <c r="D84" s="32">
        <f>-56</f>
        <v>-56</v>
      </c>
      <c r="E84" s="32"/>
      <c r="F84" s="32"/>
      <c r="G84" s="84">
        <f t="shared" si="7"/>
        <v>56</v>
      </c>
      <c r="H84" s="85">
        <f t="shared" si="8"/>
        <v>0</v>
      </c>
      <c r="I84" s="84">
        <f t="shared" si="9"/>
        <v>56</v>
      </c>
      <c r="J84" s="85">
        <f t="shared" si="10"/>
        <v>0</v>
      </c>
    </row>
    <row r="85" spans="1:10" s="66" customFormat="1" x14ac:dyDescent="0.25">
      <c r="A85" s="86" t="s">
        <v>23</v>
      </c>
      <c r="B85" s="119" t="s">
        <v>561</v>
      </c>
      <c r="C85" s="32">
        <v>358</v>
      </c>
      <c r="D85" s="32">
        <v>358</v>
      </c>
      <c r="E85" s="32"/>
      <c r="F85" s="32"/>
      <c r="G85" s="84">
        <f t="shared" si="7"/>
        <v>-358</v>
      </c>
      <c r="H85" s="85">
        <f t="shared" si="8"/>
        <v>0</v>
      </c>
      <c r="I85" s="84">
        <f t="shared" si="9"/>
        <v>-358</v>
      </c>
      <c r="J85" s="85">
        <f t="shared" si="10"/>
        <v>0</v>
      </c>
    </row>
    <row r="86" spans="1:10" s="66" customFormat="1" ht="28.5" hidden="1" x14ac:dyDescent="0.25">
      <c r="A86" s="77" t="s">
        <v>74</v>
      </c>
      <c r="B86" s="78" t="s">
        <v>247</v>
      </c>
      <c r="C86" s="32"/>
      <c r="D86" s="32"/>
      <c r="E86" s="32"/>
      <c r="F86" s="32"/>
      <c r="G86" s="84">
        <f t="shared" si="7"/>
        <v>0</v>
      </c>
      <c r="H86" s="85"/>
      <c r="I86" s="84">
        <f t="shared" si="9"/>
        <v>0</v>
      </c>
      <c r="J86" s="85"/>
    </row>
    <row r="87" spans="1:10" ht="28.5" hidden="1" x14ac:dyDescent="0.25">
      <c r="A87" s="120" t="s">
        <v>673</v>
      </c>
      <c r="B87" s="121" t="s">
        <v>248</v>
      </c>
      <c r="C87" s="122"/>
      <c r="D87" s="122"/>
      <c r="E87" s="122"/>
      <c r="F87" s="122"/>
      <c r="G87" s="123">
        <f t="shared" si="7"/>
        <v>0</v>
      </c>
      <c r="H87" s="124"/>
      <c r="I87" s="123">
        <f t="shared" si="9"/>
        <v>0</v>
      </c>
      <c r="J87" s="124"/>
    </row>
    <row r="88" spans="1:10" ht="21.75" customHeight="1" x14ac:dyDescent="0.25">
      <c r="C88" s="551"/>
      <c r="D88" s="551"/>
      <c r="E88" s="551"/>
      <c r="F88" s="551"/>
      <c r="G88" s="551"/>
      <c r="H88" s="551"/>
      <c r="I88" s="551"/>
      <c r="J88" s="551"/>
    </row>
  </sheetData>
  <mergeCells count="16">
    <mergeCell ref="C88:J88"/>
    <mergeCell ref="A1:B1"/>
    <mergeCell ref="F1:J1"/>
    <mergeCell ref="A2:J2"/>
    <mergeCell ref="G3:J3"/>
    <mergeCell ref="A4:A6"/>
    <mergeCell ref="B4:B6"/>
    <mergeCell ref="C4:D4"/>
    <mergeCell ref="E4:F4"/>
    <mergeCell ref="G4:J4"/>
    <mergeCell ref="C5:C6"/>
    <mergeCell ref="D5:D6"/>
    <mergeCell ref="E5:E6"/>
    <mergeCell ref="F5:F6"/>
    <mergeCell ref="G5:H5"/>
    <mergeCell ref="I5:J5"/>
  </mergeCells>
  <pageMargins left="0.43307086614173229" right="0.23622047244094491" top="0.39370078740157483" bottom="0.19685039370078741"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H59"/>
  <sheetViews>
    <sheetView tabSelected="1" topLeftCell="A19" workbookViewId="0">
      <selection activeCell="D25" sqref="D25"/>
    </sheetView>
  </sheetViews>
  <sheetFormatPr defaultColWidth="9.140625" defaultRowHeight="15" x14ac:dyDescent="0.25"/>
  <cols>
    <col min="1" max="1" width="6.28515625" style="2" customWidth="1"/>
    <col min="2" max="2" width="38.5703125" style="2" customWidth="1"/>
    <col min="3" max="3" width="12.7109375" style="2" customWidth="1"/>
    <col min="4" max="4" width="11.5703125" style="2" bestFit="1" customWidth="1"/>
    <col min="5" max="5" width="9.5703125" style="2" bestFit="1" customWidth="1"/>
    <col min="6" max="6" width="9.42578125" style="2" bestFit="1" customWidth="1"/>
    <col min="7" max="7" width="9.140625" style="2" customWidth="1"/>
    <col min="8" max="8" width="9.85546875" style="2" bestFit="1" customWidth="1"/>
    <col min="9" max="16384" width="9.140625" style="2"/>
  </cols>
  <sheetData>
    <row r="1" spans="1:8" x14ac:dyDescent="0.25">
      <c r="A1" s="574" t="s">
        <v>178</v>
      </c>
      <c r="B1" s="574"/>
      <c r="E1" s="576" t="s">
        <v>10</v>
      </c>
      <c r="F1" s="576"/>
      <c r="G1" s="576"/>
    </row>
    <row r="2" spans="1:8" ht="21.75" customHeight="1" x14ac:dyDescent="0.25">
      <c r="A2" s="530" t="s">
        <v>306</v>
      </c>
      <c r="B2" s="530"/>
      <c r="C2" s="530"/>
      <c r="D2" s="530"/>
      <c r="E2" s="530"/>
      <c r="F2" s="530"/>
      <c r="G2" s="530"/>
    </row>
    <row r="3" spans="1:8" x14ac:dyDescent="0.25">
      <c r="A3" s="530" t="s">
        <v>424</v>
      </c>
      <c r="B3" s="530"/>
      <c r="C3" s="530"/>
      <c r="D3" s="530"/>
      <c r="E3" s="530"/>
      <c r="F3" s="530"/>
      <c r="G3" s="530"/>
    </row>
    <row r="4" spans="1:8" x14ac:dyDescent="0.25">
      <c r="A4" s="63"/>
      <c r="F4" s="575" t="s">
        <v>12</v>
      </c>
      <c r="G4" s="575"/>
    </row>
    <row r="5" spans="1:8" ht="24.75" customHeight="1" x14ac:dyDescent="0.25">
      <c r="A5" s="570" t="s">
        <v>13</v>
      </c>
      <c r="B5" s="570" t="s">
        <v>14</v>
      </c>
      <c r="C5" s="571" t="s">
        <v>356</v>
      </c>
      <c r="D5" s="571" t="s">
        <v>408</v>
      </c>
      <c r="E5" s="572" t="s">
        <v>409</v>
      </c>
      <c r="F5" s="570" t="s">
        <v>15</v>
      </c>
      <c r="G5" s="570"/>
    </row>
    <row r="6" spans="1:8" ht="28.5" x14ac:dyDescent="0.25">
      <c r="A6" s="570"/>
      <c r="B6" s="570"/>
      <c r="C6" s="571"/>
      <c r="D6" s="571"/>
      <c r="E6" s="573"/>
      <c r="F6" s="209" t="s">
        <v>16</v>
      </c>
      <c r="G6" s="209" t="s">
        <v>4</v>
      </c>
    </row>
    <row r="7" spans="1:8" ht="16.5" customHeight="1" x14ac:dyDescent="0.25">
      <c r="A7" s="210" t="s">
        <v>17</v>
      </c>
      <c r="B7" s="210" t="s">
        <v>18</v>
      </c>
      <c r="C7" s="210">
        <v>1</v>
      </c>
      <c r="D7" s="210">
        <v>2</v>
      </c>
      <c r="E7" s="210">
        <v>3</v>
      </c>
      <c r="F7" s="210">
        <v>4</v>
      </c>
      <c r="G7" s="210">
        <v>5</v>
      </c>
    </row>
    <row r="8" spans="1:8" s="18" customFormat="1" x14ac:dyDescent="0.2">
      <c r="A8" s="211" t="s">
        <v>17</v>
      </c>
      <c r="B8" s="212" t="s">
        <v>162</v>
      </c>
      <c r="C8" s="213"/>
      <c r="D8" s="213"/>
      <c r="E8" s="213"/>
      <c r="F8" s="214">
        <f>E8-D8</f>
        <v>0</v>
      </c>
      <c r="G8" s="212"/>
    </row>
    <row r="9" spans="1:8" s="18" customFormat="1" ht="14.25" x14ac:dyDescent="0.2">
      <c r="A9" s="215" t="s">
        <v>19</v>
      </c>
      <c r="B9" s="216" t="s">
        <v>20</v>
      </c>
      <c r="C9" s="217">
        <f>C10+C11+C14+C15+C16+C17</f>
        <v>359894</v>
      </c>
      <c r="D9" s="217">
        <f>D10+D11+D14+D15+D16+D17</f>
        <v>469505.24596499995</v>
      </c>
      <c r="E9" s="217">
        <f>E10+E11+E14+E15+E16+E17</f>
        <v>437617.75</v>
      </c>
      <c r="F9" s="217">
        <f>F10+F11+F14+F15+F16+F17</f>
        <v>-31887.49596499998</v>
      </c>
      <c r="G9" s="218">
        <f>E9/D9</f>
        <v>0.93208276959832514</v>
      </c>
      <c r="H9" s="67"/>
    </row>
    <row r="10" spans="1:8" x14ac:dyDescent="0.25">
      <c r="A10" s="219">
        <v>1</v>
      </c>
      <c r="B10" s="220" t="s">
        <v>21</v>
      </c>
      <c r="C10" s="221">
        <v>116042</v>
      </c>
      <c r="D10" s="221">
        <v>113386.56909999999</v>
      </c>
      <c r="E10" s="221">
        <v>171357.75</v>
      </c>
      <c r="F10" s="221">
        <f t="shared" ref="F10:F18" si="0">E10-D10</f>
        <v>57971.180900000007</v>
      </c>
      <c r="G10" s="222">
        <f>E10/D10</f>
        <v>1.5112702620790386</v>
      </c>
    </row>
    <row r="11" spans="1:8" x14ac:dyDescent="0.25">
      <c r="A11" s="219">
        <v>2</v>
      </c>
      <c r="B11" s="220" t="s">
        <v>22</v>
      </c>
      <c r="C11" s="221">
        <f>SUM(C12:C13)</f>
        <v>243852</v>
      </c>
      <c r="D11" s="221">
        <f>SUM(D12:D13)</f>
        <v>253430.53599999999</v>
      </c>
      <c r="E11" s="221">
        <f>SUM(E12:E13)</f>
        <v>266260</v>
      </c>
      <c r="F11" s="221">
        <f t="shared" si="0"/>
        <v>12829.464000000007</v>
      </c>
      <c r="G11" s="222">
        <f>E11/D11</f>
        <v>1.0506231971983044</v>
      </c>
    </row>
    <row r="12" spans="1:8" x14ac:dyDescent="0.25">
      <c r="A12" s="219" t="s">
        <v>23</v>
      </c>
      <c r="B12" s="220" t="s">
        <v>24</v>
      </c>
      <c r="C12" s="223">
        <v>210681</v>
      </c>
      <c r="D12" s="224">
        <v>210681</v>
      </c>
      <c r="E12" s="225">
        <v>258162</v>
      </c>
      <c r="F12" s="221">
        <f t="shared" si="0"/>
        <v>47481</v>
      </c>
      <c r="G12" s="222">
        <f>E12/D12</f>
        <v>1.225369160009683</v>
      </c>
    </row>
    <row r="13" spans="1:8" x14ac:dyDescent="0.25">
      <c r="A13" s="219" t="s">
        <v>23</v>
      </c>
      <c r="B13" s="220" t="s">
        <v>25</v>
      </c>
      <c r="C13" s="226">
        <v>33171</v>
      </c>
      <c r="D13" s="227">
        <v>42749.536</v>
      </c>
      <c r="E13" s="224">
        <v>8098</v>
      </c>
      <c r="F13" s="221">
        <f t="shared" si="0"/>
        <v>-34651.536</v>
      </c>
      <c r="G13" s="222">
        <f>E13/D13</f>
        <v>0.18942895660902612</v>
      </c>
    </row>
    <row r="14" spans="1:8" x14ac:dyDescent="0.25">
      <c r="A14" s="219">
        <v>3</v>
      </c>
      <c r="B14" s="220" t="s">
        <v>26</v>
      </c>
      <c r="C14" s="221">
        <v>0</v>
      </c>
      <c r="D14" s="221">
        <v>0</v>
      </c>
      <c r="E14" s="221">
        <v>0</v>
      </c>
      <c r="F14" s="221">
        <f t="shared" si="0"/>
        <v>0</v>
      </c>
      <c r="G14" s="222"/>
    </row>
    <row r="15" spans="1:8" x14ac:dyDescent="0.25">
      <c r="A15" s="219">
        <v>4</v>
      </c>
      <c r="B15" s="220" t="s">
        <v>27</v>
      </c>
      <c r="C15" s="221">
        <v>0</v>
      </c>
      <c r="D15" s="228">
        <v>7527.92623</v>
      </c>
      <c r="E15" s="221"/>
      <c r="F15" s="221">
        <f t="shared" si="0"/>
        <v>-7527.92623</v>
      </c>
      <c r="G15" s="222">
        <f>E15/D15</f>
        <v>0</v>
      </c>
    </row>
    <row r="16" spans="1:8" ht="30" x14ac:dyDescent="0.25">
      <c r="A16" s="219">
        <v>5</v>
      </c>
      <c r="B16" s="220" t="s">
        <v>28</v>
      </c>
      <c r="C16" s="221">
        <v>0</v>
      </c>
      <c r="D16" s="228">
        <v>95063.374834999995</v>
      </c>
      <c r="E16" s="221"/>
      <c r="F16" s="221">
        <f t="shared" si="0"/>
        <v>-95063.374834999995</v>
      </c>
      <c r="G16" s="222">
        <f>E16/D16</f>
        <v>0</v>
      </c>
    </row>
    <row r="17" spans="1:7" x14ac:dyDescent="0.25">
      <c r="A17" s="219">
        <v>6</v>
      </c>
      <c r="B17" s="220" t="s">
        <v>164</v>
      </c>
      <c r="C17" s="221">
        <v>0</v>
      </c>
      <c r="D17" s="221">
        <v>96.839799999999997</v>
      </c>
      <c r="E17" s="221"/>
      <c r="F17" s="221">
        <f t="shared" si="0"/>
        <v>-96.839799999999997</v>
      </c>
      <c r="G17" s="222"/>
    </row>
    <row r="18" spans="1:7" s="18" customFormat="1" ht="14.25" x14ac:dyDescent="0.2">
      <c r="A18" s="215" t="s">
        <v>29</v>
      </c>
      <c r="B18" s="216" t="s">
        <v>30</v>
      </c>
      <c r="C18" s="217">
        <f>C19+C20+C23</f>
        <v>359894.24800000002</v>
      </c>
      <c r="D18" s="217">
        <f>D19+D20+D23</f>
        <v>467401.670079</v>
      </c>
      <c r="E18" s="217">
        <f>E19+E20+E23</f>
        <v>437617.74979999999</v>
      </c>
      <c r="F18" s="217">
        <f t="shared" si="0"/>
        <v>-29783.920279000013</v>
      </c>
      <c r="G18" s="218">
        <f>E18/D18</f>
        <v>0.9362776768128237</v>
      </c>
    </row>
    <row r="19" spans="1:7" ht="30" x14ac:dyDescent="0.25">
      <c r="A19" s="219">
        <v>1</v>
      </c>
      <c r="B19" s="220" t="s">
        <v>166</v>
      </c>
      <c r="C19" s="221">
        <v>304741.11800000002</v>
      </c>
      <c r="D19" s="221">
        <v>409152.03007899999</v>
      </c>
      <c r="E19" s="221">
        <v>378521.97</v>
      </c>
      <c r="F19" s="221">
        <f t="shared" ref="F19:F25" si="1">E19-C19</f>
        <v>73780.851999999955</v>
      </c>
      <c r="G19" s="222">
        <f>E19/C19</f>
        <v>1.2421099341113526</v>
      </c>
    </row>
    <row r="20" spans="1:7" x14ac:dyDescent="0.25">
      <c r="A20" s="219">
        <v>2</v>
      </c>
      <c r="B20" s="220" t="s">
        <v>31</v>
      </c>
      <c r="C20" s="221">
        <f>SUM(C21:C22)</f>
        <v>55153.13</v>
      </c>
      <c r="D20" s="221">
        <f>SUM(D21:D22)</f>
        <v>58249.64</v>
      </c>
      <c r="E20" s="221">
        <f>SUM(E21:E22)</f>
        <v>59095.779799999997</v>
      </c>
      <c r="F20" s="221">
        <f t="shared" si="1"/>
        <v>3942.6497999999992</v>
      </c>
      <c r="G20" s="222">
        <f>E20/C20</f>
        <v>1.0714855131522001</v>
      </c>
    </row>
    <row r="21" spans="1:7" x14ac:dyDescent="0.25">
      <c r="A21" s="219" t="s">
        <v>23</v>
      </c>
      <c r="B21" s="220" t="s">
        <v>32</v>
      </c>
      <c r="C21" s="221">
        <v>54503.13</v>
      </c>
      <c r="D21" s="221">
        <v>57126.64</v>
      </c>
      <c r="E21" s="221">
        <v>59044.779799999997</v>
      </c>
      <c r="F21" s="221">
        <f t="shared" si="1"/>
        <v>4541.6497999999992</v>
      </c>
      <c r="G21" s="222">
        <f>E21/C21</f>
        <v>1.0833282382131082</v>
      </c>
    </row>
    <row r="22" spans="1:7" x14ac:dyDescent="0.25">
      <c r="A22" s="219" t="s">
        <v>23</v>
      </c>
      <c r="B22" s="220" t="s">
        <v>33</v>
      </c>
      <c r="C22" s="221">
        <v>650</v>
      </c>
      <c r="D22" s="221">
        <v>1123</v>
      </c>
      <c r="E22" s="221">
        <v>51</v>
      </c>
      <c r="F22" s="221">
        <f t="shared" si="1"/>
        <v>-599</v>
      </c>
      <c r="G22" s="222">
        <f>E22/C22</f>
        <v>7.8461538461538458E-2</v>
      </c>
    </row>
    <row r="23" spans="1:7" x14ac:dyDescent="0.25">
      <c r="A23" s="219">
        <v>3</v>
      </c>
      <c r="B23" s="220" t="s">
        <v>34</v>
      </c>
      <c r="C23" s="221"/>
      <c r="D23" s="221"/>
      <c r="E23" s="221"/>
      <c r="F23" s="221">
        <f t="shared" si="1"/>
        <v>0</v>
      </c>
      <c r="G23" s="222"/>
    </row>
    <row r="24" spans="1:7" s="18" customFormat="1" x14ac:dyDescent="0.2">
      <c r="A24" s="215" t="s">
        <v>35</v>
      </c>
      <c r="B24" s="216" t="s">
        <v>36</v>
      </c>
      <c r="C24" s="217"/>
      <c r="D24" s="217"/>
      <c r="E24" s="217"/>
      <c r="F24" s="221">
        <f t="shared" si="1"/>
        <v>0</v>
      </c>
      <c r="G24" s="222"/>
    </row>
    <row r="25" spans="1:7" s="18" customFormat="1" x14ac:dyDescent="0.2">
      <c r="A25" s="215" t="s">
        <v>18</v>
      </c>
      <c r="B25" s="216" t="s">
        <v>163</v>
      </c>
      <c r="C25" s="217"/>
      <c r="D25" s="217"/>
      <c r="E25" s="217"/>
      <c r="F25" s="221">
        <f t="shared" si="1"/>
        <v>0</v>
      </c>
      <c r="G25" s="222"/>
    </row>
    <row r="26" spans="1:7" s="18" customFormat="1" ht="14.25" x14ac:dyDescent="0.2">
      <c r="A26" s="215" t="s">
        <v>19</v>
      </c>
      <c r="B26" s="216" t="s">
        <v>20</v>
      </c>
      <c r="C26" s="217">
        <f>C27+C28+C31+C32</f>
        <v>61411.829999999994</v>
      </c>
      <c r="D26" s="217">
        <f>D27+D28+D31+D32</f>
        <v>67051.486014000009</v>
      </c>
      <c r="E26" s="217">
        <f>E27+E28+E31+E32</f>
        <v>69024.779799999989</v>
      </c>
      <c r="F26" s="217">
        <f>E26-D26</f>
        <v>1973.2937859999802</v>
      </c>
      <c r="G26" s="218">
        <f>E26/D26</f>
        <v>1.0294295309963446</v>
      </c>
    </row>
    <row r="27" spans="1:7" x14ac:dyDescent="0.25">
      <c r="A27" s="219">
        <v>1</v>
      </c>
      <c r="B27" s="220" t="s">
        <v>21</v>
      </c>
      <c r="C27" s="221">
        <v>6258.7</v>
      </c>
      <c r="D27" s="221">
        <v>4484.4775250000002</v>
      </c>
      <c r="E27" s="221">
        <v>9929</v>
      </c>
      <c r="F27" s="221">
        <f t="shared" ref="F27:F41" si="2">E27-C27</f>
        <v>3670.3</v>
      </c>
      <c r="G27" s="222">
        <f>E27/C27</f>
        <v>1.5864316870915687</v>
      </c>
    </row>
    <row r="28" spans="1:7" x14ac:dyDescent="0.25">
      <c r="A28" s="219">
        <v>2</v>
      </c>
      <c r="B28" s="220" t="s">
        <v>37</v>
      </c>
      <c r="C28" s="221">
        <f>SUM(C29:C30)</f>
        <v>55153.13</v>
      </c>
      <c r="D28" s="221">
        <f>SUM(D29:D30)</f>
        <v>58249.64</v>
      </c>
      <c r="E28" s="221">
        <f>SUM(E29:E30)</f>
        <v>59095.779799999997</v>
      </c>
      <c r="F28" s="221">
        <f t="shared" si="2"/>
        <v>3942.6497999999992</v>
      </c>
      <c r="G28" s="222">
        <f>E28/C28</f>
        <v>1.0714855131522001</v>
      </c>
    </row>
    <row r="29" spans="1:7" x14ac:dyDescent="0.25">
      <c r="A29" s="219" t="s">
        <v>23</v>
      </c>
      <c r="B29" s="220" t="s">
        <v>24</v>
      </c>
      <c r="C29" s="221">
        <v>54503.13</v>
      </c>
      <c r="D29" s="221">
        <v>57126.64</v>
      </c>
      <c r="E29" s="221">
        <v>59044.779799999997</v>
      </c>
      <c r="F29" s="221">
        <f t="shared" si="2"/>
        <v>4541.6497999999992</v>
      </c>
      <c r="G29" s="222">
        <f>E29/C29</f>
        <v>1.0833282382131082</v>
      </c>
    </row>
    <row r="30" spans="1:7" x14ac:dyDescent="0.25">
      <c r="A30" s="219" t="s">
        <v>23</v>
      </c>
      <c r="B30" s="220" t="s">
        <v>25</v>
      </c>
      <c r="C30" s="221">
        <v>650</v>
      </c>
      <c r="D30" s="221">
        <v>1123</v>
      </c>
      <c r="E30" s="221">
        <v>51</v>
      </c>
      <c r="F30" s="221">
        <f t="shared" si="2"/>
        <v>-599</v>
      </c>
      <c r="G30" s="222">
        <f>E30/C30</f>
        <v>7.8461538461538458E-2</v>
      </c>
    </row>
    <row r="31" spans="1:7" x14ac:dyDescent="0.25">
      <c r="A31" s="219">
        <v>3</v>
      </c>
      <c r="B31" s="220" t="s">
        <v>38</v>
      </c>
      <c r="C31" s="221">
        <v>0</v>
      </c>
      <c r="D31" s="221">
        <v>876.15302999999994</v>
      </c>
      <c r="E31" s="221">
        <v>0</v>
      </c>
      <c r="F31" s="221">
        <f t="shared" si="2"/>
        <v>0</v>
      </c>
      <c r="G31" s="222"/>
    </row>
    <row r="32" spans="1:7" ht="30" x14ac:dyDescent="0.25">
      <c r="A32" s="219">
        <v>4</v>
      </c>
      <c r="B32" s="220" t="s">
        <v>28</v>
      </c>
      <c r="C32" s="221">
        <v>0</v>
      </c>
      <c r="D32" s="221">
        <v>3441.215459</v>
      </c>
      <c r="E32" s="221">
        <v>0</v>
      </c>
      <c r="F32" s="221">
        <f t="shared" si="2"/>
        <v>0</v>
      </c>
      <c r="G32" s="222"/>
    </row>
    <row r="33" spans="1:8" s="18" customFormat="1" ht="14.25" x14ac:dyDescent="0.2">
      <c r="A33" s="215" t="s">
        <v>29</v>
      </c>
      <c r="B33" s="216" t="s">
        <v>30</v>
      </c>
      <c r="C33" s="217">
        <f>C34+C38+C41</f>
        <v>61411.829999999994</v>
      </c>
      <c r="D33" s="217">
        <f>D34+D38+D41</f>
        <v>67051.486014000009</v>
      </c>
      <c r="E33" s="217">
        <f>E34+E38+E41</f>
        <v>69024.779799999989</v>
      </c>
      <c r="F33" s="217">
        <f t="shared" si="2"/>
        <v>7612.9497999999949</v>
      </c>
      <c r="G33" s="218">
        <f>E33/C33</f>
        <v>1.1239655258604082</v>
      </c>
    </row>
    <row r="34" spans="1:8" x14ac:dyDescent="0.25">
      <c r="A34" s="219">
        <v>1</v>
      </c>
      <c r="B34" s="220" t="s">
        <v>165</v>
      </c>
      <c r="C34" s="221">
        <f>C26</f>
        <v>61411.829999999994</v>
      </c>
      <c r="D34" s="221">
        <f>D26</f>
        <v>67051.486014000009</v>
      </c>
      <c r="E34" s="221">
        <f>E26</f>
        <v>69024.779799999989</v>
      </c>
      <c r="F34" s="221">
        <f t="shared" si="2"/>
        <v>7612.9497999999949</v>
      </c>
      <c r="G34" s="222">
        <f>E34/C34</f>
        <v>1.1239655258604082</v>
      </c>
    </row>
    <row r="35" spans="1:8" x14ac:dyDescent="0.25">
      <c r="A35" s="229" t="s">
        <v>23</v>
      </c>
      <c r="B35" s="220" t="s">
        <v>423</v>
      </c>
      <c r="C35" s="221">
        <v>5000</v>
      </c>
      <c r="D35" s="221">
        <v>5000</v>
      </c>
      <c r="E35" s="221">
        <v>8640</v>
      </c>
      <c r="F35" s="221">
        <f t="shared" si="2"/>
        <v>3640</v>
      </c>
      <c r="G35" s="222">
        <f>E35/C35</f>
        <v>1.728</v>
      </c>
      <c r="H35" s="15"/>
    </row>
    <row r="36" spans="1:8" x14ac:dyDescent="0.25">
      <c r="A36" s="229" t="s">
        <v>23</v>
      </c>
      <c r="B36" s="220" t="s">
        <v>89</v>
      </c>
      <c r="C36" s="221">
        <v>55305.83</v>
      </c>
      <c r="D36" s="221">
        <v>60945</v>
      </c>
      <c r="E36" s="221">
        <v>59171</v>
      </c>
      <c r="F36" s="221">
        <f t="shared" si="2"/>
        <v>3865.1699999999983</v>
      </c>
      <c r="G36" s="222">
        <f>E36/C36</f>
        <v>1.0698872071895493</v>
      </c>
      <c r="H36" s="15"/>
    </row>
    <row r="37" spans="1:8" x14ac:dyDescent="0.25">
      <c r="A37" s="229" t="s">
        <v>23</v>
      </c>
      <c r="B37" s="220" t="s">
        <v>71</v>
      </c>
      <c r="C37" s="221">
        <v>1106</v>
      </c>
      <c r="D37" s="221">
        <v>1106</v>
      </c>
      <c r="E37" s="221">
        <v>1214</v>
      </c>
      <c r="F37" s="221">
        <f t="shared" si="2"/>
        <v>108</v>
      </c>
      <c r="G37" s="222">
        <f>E37/C37</f>
        <v>1.0976491862567812</v>
      </c>
    </row>
    <row r="38" spans="1:8" x14ac:dyDescent="0.25">
      <c r="A38" s="219">
        <v>2</v>
      </c>
      <c r="B38" s="220" t="s">
        <v>39</v>
      </c>
      <c r="C38" s="221">
        <f>SUM(C39:C40)</f>
        <v>0</v>
      </c>
      <c r="D38" s="221">
        <f>SUM(D39:D40)</f>
        <v>0</v>
      </c>
      <c r="E38" s="221">
        <f>SUM(E39:E40)</f>
        <v>0</v>
      </c>
      <c r="F38" s="221">
        <f t="shared" si="2"/>
        <v>0</v>
      </c>
      <c r="G38" s="222"/>
    </row>
    <row r="39" spans="1:8" x14ac:dyDescent="0.25">
      <c r="A39" s="219" t="s">
        <v>23</v>
      </c>
      <c r="B39" s="220" t="s">
        <v>32</v>
      </c>
      <c r="C39" s="221"/>
      <c r="D39" s="221"/>
      <c r="E39" s="221"/>
      <c r="F39" s="221">
        <f t="shared" si="2"/>
        <v>0</v>
      </c>
      <c r="G39" s="222"/>
    </row>
    <row r="40" spans="1:8" x14ac:dyDescent="0.25">
      <c r="A40" s="219" t="s">
        <v>23</v>
      </c>
      <c r="B40" s="220" t="s">
        <v>33</v>
      </c>
      <c r="C40" s="221"/>
      <c r="D40" s="221"/>
      <c r="E40" s="221"/>
      <c r="F40" s="221">
        <f t="shared" si="2"/>
        <v>0</v>
      </c>
      <c r="G40" s="222"/>
    </row>
    <row r="41" spans="1:8" x14ac:dyDescent="0.25">
      <c r="A41" s="230">
        <v>3</v>
      </c>
      <c r="B41" s="231" t="s">
        <v>34</v>
      </c>
      <c r="C41" s="232"/>
      <c r="D41" s="232"/>
      <c r="E41" s="232"/>
      <c r="F41" s="232">
        <f t="shared" si="2"/>
        <v>0</v>
      </c>
      <c r="G41" s="233"/>
    </row>
    <row r="42" spans="1:8" ht="28.5" hidden="1" customHeight="1" x14ac:dyDescent="0.25">
      <c r="A42" s="567" t="s">
        <v>663</v>
      </c>
      <c r="B42" s="567"/>
      <c r="C42" s="567"/>
      <c r="D42" s="567"/>
      <c r="E42" s="567"/>
      <c r="F42" s="567"/>
      <c r="G42" s="567"/>
    </row>
    <row r="43" spans="1:8" ht="18.75" hidden="1" customHeight="1" x14ac:dyDescent="0.25">
      <c r="A43" s="234" t="s">
        <v>40</v>
      </c>
    </row>
    <row r="44" spans="1:8" ht="30.75" hidden="1" customHeight="1" x14ac:dyDescent="0.25">
      <c r="A44" s="568" t="s">
        <v>0</v>
      </c>
      <c r="B44" s="569"/>
      <c r="C44" s="569"/>
      <c r="D44" s="569"/>
      <c r="E44" s="569"/>
      <c r="F44" s="569"/>
      <c r="G44" s="569"/>
    </row>
    <row r="45" spans="1:8" ht="18.75" customHeight="1" x14ac:dyDescent="0.25">
      <c r="A45" s="235"/>
    </row>
    <row r="46" spans="1:8" ht="18.75" customHeight="1" x14ac:dyDescent="0.25"/>
    <row r="47" spans="1:8" ht="18.75" customHeight="1" x14ac:dyDescent="0.25"/>
    <row r="48" spans="1: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sheetData>
  <mergeCells count="13">
    <mergeCell ref="A1:B1"/>
    <mergeCell ref="A3:G3"/>
    <mergeCell ref="A2:G2"/>
    <mergeCell ref="F4:G4"/>
    <mergeCell ref="E1:G1"/>
    <mergeCell ref="A42:G42"/>
    <mergeCell ref="A44:G44"/>
    <mergeCell ref="F5:G5"/>
    <mergeCell ref="A5:A6"/>
    <mergeCell ref="B5:B6"/>
    <mergeCell ref="C5:C6"/>
    <mergeCell ref="D5:D6"/>
    <mergeCell ref="E5:E6"/>
  </mergeCells>
  <phoneticPr fontId="16" type="noConversion"/>
  <pageMargins left="0.56999999999999995" right="0.33" top="0.56000000000000005" bottom="0.31" header="0.31496062992125984" footer="0.31496062992125984"/>
  <pageSetup paperSize="9" scale="95"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topLeftCell="A13" workbookViewId="0">
      <selection sqref="A1:L20"/>
    </sheetView>
  </sheetViews>
  <sheetFormatPr defaultRowHeight="15" x14ac:dyDescent="0.25"/>
  <cols>
    <col min="1" max="1" width="6.42578125" style="2" customWidth="1"/>
    <col min="2" max="2" width="24.7109375" style="2" customWidth="1"/>
    <col min="3" max="3" width="12.28515625" style="2" customWidth="1"/>
    <col min="4" max="4" width="13.42578125" style="2" customWidth="1"/>
    <col min="5" max="5" width="9.85546875" style="2" customWidth="1"/>
    <col min="6" max="6" width="10.85546875" style="2" customWidth="1"/>
    <col min="7" max="10" width="10.42578125" style="2" bestFit="1" customWidth="1"/>
    <col min="11" max="12" width="10" style="2" bestFit="1" customWidth="1"/>
    <col min="13" max="13" width="10.28515625" style="2" customWidth="1"/>
    <col min="14" max="16384" width="9.140625" style="2"/>
  </cols>
  <sheetData>
    <row r="1" spans="1:13" x14ac:dyDescent="0.25">
      <c r="A1" s="530" t="s">
        <v>178</v>
      </c>
      <c r="B1" s="530"/>
      <c r="L1" s="208" t="s">
        <v>41</v>
      </c>
    </row>
    <row r="2" spans="1:13" x14ac:dyDescent="0.25">
      <c r="A2" s="530" t="s">
        <v>431</v>
      </c>
      <c r="B2" s="530"/>
      <c r="C2" s="530"/>
      <c r="D2" s="530"/>
      <c r="E2" s="530"/>
      <c r="F2" s="530"/>
      <c r="G2" s="530"/>
      <c r="H2" s="530"/>
      <c r="I2" s="530"/>
      <c r="J2" s="530"/>
      <c r="K2" s="530"/>
      <c r="L2" s="530"/>
    </row>
    <row r="3" spans="1:13" x14ac:dyDescent="0.25">
      <c r="A3" s="63"/>
      <c r="J3" s="580" t="s">
        <v>12</v>
      </c>
      <c r="K3" s="580"/>
      <c r="L3" s="580"/>
    </row>
    <row r="4" spans="1:13" ht="33" customHeight="1" x14ac:dyDescent="0.25">
      <c r="A4" s="570" t="s">
        <v>13</v>
      </c>
      <c r="B4" s="570" t="s">
        <v>43</v>
      </c>
      <c r="C4" s="587" t="s">
        <v>357</v>
      </c>
      <c r="D4" s="588"/>
      <c r="E4" s="571" t="s">
        <v>408</v>
      </c>
      <c r="F4" s="571"/>
      <c r="G4" s="589" t="s">
        <v>410</v>
      </c>
      <c r="H4" s="590"/>
      <c r="I4" s="590"/>
      <c r="J4" s="591"/>
      <c r="K4" s="570" t="s">
        <v>44</v>
      </c>
      <c r="L4" s="570"/>
    </row>
    <row r="5" spans="1:13" s="61" customFormat="1" ht="18" customHeight="1" x14ac:dyDescent="0.25">
      <c r="A5" s="586"/>
      <c r="B5" s="586"/>
      <c r="C5" s="592" t="s">
        <v>45</v>
      </c>
      <c r="D5" s="584" t="s">
        <v>46</v>
      </c>
      <c r="E5" s="595" t="s">
        <v>45</v>
      </c>
      <c r="F5" s="577" t="s">
        <v>46</v>
      </c>
      <c r="G5" s="579" t="s">
        <v>432</v>
      </c>
      <c r="H5" s="579"/>
      <c r="I5" s="579" t="s">
        <v>433</v>
      </c>
      <c r="J5" s="579"/>
      <c r="K5" s="581" t="s">
        <v>45</v>
      </c>
      <c r="L5" s="584" t="s">
        <v>46</v>
      </c>
    </row>
    <row r="6" spans="1:13" s="61" customFormat="1" ht="15" customHeight="1" x14ac:dyDescent="0.25">
      <c r="A6" s="570"/>
      <c r="B6" s="570"/>
      <c r="C6" s="593"/>
      <c r="D6" s="585"/>
      <c r="E6" s="596"/>
      <c r="F6" s="578"/>
      <c r="G6" s="579" t="s">
        <v>47</v>
      </c>
      <c r="H6" s="239" t="s">
        <v>46</v>
      </c>
      <c r="I6" s="579" t="s">
        <v>47</v>
      </c>
      <c r="J6" s="239" t="s">
        <v>46</v>
      </c>
      <c r="K6" s="582"/>
      <c r="L6" s="585"/>
    </row>
    <row r="7" spans="1:13" s="61" customFormat="1" ht="38.25" customHeight="1" x14ac:dyDescent="0.25">
      <c r="A7" s="570"/>
      <c r="B7" s="570"/>
      <c r="C7" s="594"/>
      <c r="D7" s="240" t="s">
        <v>48</v>
      </c>
      <c r="E7" s="597"/>
      <c r="F7" s="241" t="s">
        <v>48</v>
      </c>
      <c r="G7" s="579"/>
      <c r="H7" s="239" t="s">
        <v>48</v>
      </c>
      <c r="I7" s="579"/>
      <c r="J7" s="239" t="s">
        <v>48</v>
      </c>
      <c r="K7" s="583"/>
      <c r="L7" s="242" t="s">
        <v>48</v>
      </c>
    </row>
    <row r="8" spans="1:13" x14ac:dyDescent="0.25">
      <c r="A8" s="210" t="s">
        <v>17</v>
      </c>
      <c r="B8" s="210" t="s">
        <v>18</v>
      </c>
      <c r="C8" s="210">
        <v>1</v>
      </c>
      <c r="D8" s="210">
        <v>2</v>
      </c>
      <c r="E8" s="210">
        <v>3</v>
      </c>
      <c r="F8" s="210">
        <v>4</v>
      </c>
      <c r="G8" s="243">
        <v>5</v>
      </c>
      <c r="H8" s="243">
        <v>6</v>
      </c>
      <c r="I8" s="243">
        <v>7</v>
      </c>
      <c r="J8" s="243">
        <v>8</v>
      </c>
      <c r="K8" s="210">
        <v>9</v>
      </c>
      <c r="L8" s="210">
        <v>10</v>
      </c>
    </row>
    <row r="9" spans="1:13" ht="25.5" customHeight="1" x14ac:dyDescent="0.25">
      <c r="A9" s="211"/>
      <c r="B9" s="212" t="s">
        <v>659</v>
      </c>
      <c r="C9" s="244">
        <f t="shared" ref="C9:D9" si="0">SUM(C10:C20)</f>
        <v>144370</v>
      </c>
      <c r="D9" s="244">
        <f t="shared" si="0"/>
        <v>144370</v>
      </c>
      <c r="E9" s="244">
        <f t="shared" ref="E9:F9" si="1">SUM(E10:E20)</f>
        <v>140276</v>
      </c>
      <c r="F9" s="244">
        <f t="shared" si="1"/>
        <v>140276</v>
      </c>
      <c r="G9" s="244">
        <f t="shared" ref="G9:H9" si="2">SUM(G10:G20)</f>
        <v>117820</v>
      </c>
      <c r="H9" s="244">
        <f t="shared" si="2"/>
        <v>117820</v>
      </c>
      <c r="I9" s="244">
        <f t="shared" ref="I9" si="3">SUM(I10:I20)</f>
        <v>216220</v>
      </c>
      <c r="J9" s="244">
        <f>SUM(J10:J20)</f>
        <v>216220</v>
      </c>
      <c r="K9" s="245">
        <f>G9/E9</f>
        <v>0.83991559496991641</v>
      </c>
      <c r="L9" s="245">
        <f t="shared" ref="L9" si="4">H9/F9</f>
        <v>0.83991559496991641</v>
      </c>
      <c r="M9" s="15"/>
    </row>
    <row r="10" spans="1:13" ht="35.25" customHeight="1" x14ac:dyDescent="0.25">
      <c r="A10" s="219">
        <v>1</v>
      </c>
      <c r="B10" s="220" t="s">
        <v>167</v>
      </c>
      <c r="C10" s="246">
        <f t="shared" ref="C10:C20" si="5">SUM(D10:D10)</f>
        <v>58771</v>
      </c>
      <c r="D10" s="246">
        <v>58771</v>
      </c>
      <c r="E10" s="246">
        <f t="shared" ref="E10:E20" si="6">SUM(F10:F10)</f>
        <v>49900</v>
      </c>
      <c r="F10" s="246">
        <v>49900</v>
      </c>
      <c r="G10" s="246">
        <f t="shared" ref="G10:G20" si="7">SUM(H10:H10)</f>
        <v>29546</v>
      </c>
      <c r="H10" s="246">
        <f>'[1]THU NSX'!$C$13</f>
        <v>29546</v>
      </c>
      <c r="I10" s="510">
        <v>53446</v>
      </c>
      <c r="J10" s="246">
        <f>I10</f>
        <v>53446</v>
      </c>
      <c r="K10" s="247">
        <f>I10/E10</f>
        <v>1.071062124248497</v>
      </c>
      <c r="L10" s="247">
        <f>J10/F10</f>
        <v>1.071062124248497</v>
      </c>
    </row>
    <row r="11" spans="1:13" ht="35.25" customHeight="1" x14ac:dyDescent="0.25">
      <c r="A11" s="219">
        <v>2</v>
      </c>
      <c r="B11" s="220" t="s">
        <v>168</v>
      </c>
      <c r="C11" s="246">
        <f t="shared" si="5"/>
        <v>539</v>
      </c>
      <c r="D11" s="246">
        <f>'[2]Thu NSX'!$C$15</f>
        <v>539</v>
      </c>
      <c r="E11" s="246">
        <f t="shared" si="6"/>
        <v>672</v>
      </c>
      <c r="F11" s="246">
        <v>672</v>
      </c>
      <c r="G11" s="246">
        <f t="shared" si="7"/>
        <v>508</v>
      </c>
      <c r="H11" s="246">
        <f>'[1]THU NSX'!$C$15</f>
        <v>508</v>
      </c>
      <c r="I11" s="510">
        <v>508</v>
      </c>
      <c r="J11" s="246">
        <f t="shared" ref="J11:J19" si="8">I11</f>
        <v>508</v>
      </c>
      <c r="K11" s="247">
        <f t="shared" ref="K11:K20" si="9">I11/E11</f>
        <v>0.75595238095238093</v>
      </c>
      <c r="L11" s="247">
        <f t="shared" ref="L11:L20" si="10">J11/F11</f>
        <v>0.75595238095238093</v>
      </c>
      <c r="M11" s="15"/>
    </row>
    <row r="12" spans="1:13" ht="35.25" customHeight="1" x14ac:dyDescent="0.25">
      <c r="A12" s="219">
        <v>3</v>
      </c>
      <c r="B12" s="220" t="s">
        <v>169</v>
      </c>
      <c r="C12" s="246">
        <f t="shared" si="5"/>
        <v>474</v>
      </c>
      <c r="D12" s="246">
        <f>'[2]Thu NSX'!$C$17</f>
        <v>474</v>
      </c>
      <c r="E12" s="246">
        <f t="shared" si="6"/>
        <v>856</v>
      </c>
      <c r="F12" s="246">
        <v>856</v>
      </c>
      <c r="G12" s="246">
        <f t="shared" si="7"/>
        <v>479</v>
      </c>
      <c r="H12" s="246">
        <f>'[1]THU NSX'!$C$17</f>
        <v>479</v>
      </c>
      <c r="I12" s="510">
        <v>479</v>
      </c>
      <c r="J12" s="246">
        <f t="shared" si="8"/>
        <v>479</v>
      </c>
      <c r="K12" s="247">
        <f t="shared" si="9"/>
        <v>0.55957943925233644</v>
      </c>
      <c r="L12" s="247">
        <f t="shared" si="10"/>
        <v>0.55957943925233644</v>
      </c>
    </row>
    <row r="13" spans="1:13" ht="35.25" customHeight="1" x14ac:dyDescent="0.25">
      <c r="A13" s="219">
        <v>4</v>
      </c>
      <c r="B13" s="220" t="s">
        <v>170</v>
      </c>
      <c r="C13" s="246">
        <f t="shared" si="5"/>
        <v>23869</v>
      </c>
      <c r="D13" s="246">
        <f>'[2]Thu NSX'!$C$16</f>
        <v>23869</v>
      </c>
      <c r="E13" s="246">
        <f t="shared" si="6"/>
        <v>27755</v>
      </c>
      <c r="F13" s="246">
        <v>27755</v>
      </c>
      <c r="G13" s="246">
        <f t="shared" si="7"/>
        <v>26036</v>
      </c>
      <c r="H13" s="246">
        <f>'[1]THU NSX'!$C$16</f>
        <v>26036</v>
      </c>
      <c r="I13" s="510">
        <v>27301</v>
      </c>
      <c r="J13" s="246">
        <f t="shared" si="8"/>
        <v>27301</v>
      </c>
      <c r="K13" s="247">
        <f t="shared" si="9"/>
        <v>0.98364258692127549</v>
      </c>
      <c r="L13" s="247">
        <f t="shared" si="10"/>
        <v>0.98364258692127549</v>
      </c>
    </row>
    <row r="14" spans="1:13" ht="35.25" customHeight="1" x14ac:dyDescent="0.25">
      <c r="A14" s="219">
        <v>5</v>
      </c>
      <c r="B14" s="220" t="s">
        <v>171</v>
      </c>
      <c r="C14" s="246">
        <f t="shared" si="5"/>
        <v>27656</v>
      </c>
      <c r="D14" s="246">
        <f>'[2]Thu NSX'!$C$14</f>
        <v>27656</v>
      </c>
      <c r="E14" s="246">
        <f t="shared" si="6"/>
        <v>35127</v>
      </c>
      <c r="F14" s="246">
        <v>35127</v>
      </c>
      <c r="G14" s="246">
        <f t="shared" si="7"/>
        <v>37151</v>
      </c>
      <c r="H14" s="246">
        <f>'[1]THU NSX'!$C$14</f>
        <v>37151</v>
      </c>
      <c r="I14" s="510">
        <v>37151</v>
      </c>
      <c r="J14" s="246">
        <f t="shared" si="8"/>
        <v>37151</v>
      </c>
      <c r="K14" s="247">
        <f t="shared" si="9"/>
        <v>1.057619494975375</v>
      </c>
      <c r="L14" s="247">
        <f t="shared" si="10"/>
        <v>1.057619494975375</v>
      </c>
    </row>
    <row r="15" spans="1:13" ht="35.25" customHeight="1" x14ac:dyDescent="0.25">
      <c r="A15" s="219">
        <v>6</v>
      </c>
      <c r="B15" s="220" t="s">
        <v>172</v>
      </c>
      <c r="C15" s="246">
        <f t="shared" si="5"/>
        <v>240</v>
      </c>
      <c r="D15" s="246">
        <f>'[2]Thu NSX'!$C$18</f>
        <v>240</v>
      </c>
      <c r="E15" s="246">
        <f t="shared" si="6"/>
        <v>452</v>
      </c>
      <c r="F15" s="246">
        <v>452</v>
      </c>
      <c r="G15" s="246">
        <f t="shared" si="7"/>
        <v>198</v>
      </c>
      <c r="H15" s="246">
        <f>'[1]THU NSX'!$C$18</f>
        <v>198</v>
      </c>
      <c r="I15" s="510">
        <v>798</v>
      </c>
      <c r="J15" s="246">
        <f t="shared" si="8"/>
        <v>798</v>
      </c>
      <c r="K15" s="247">
        <f t="shared" si="9"/>
        <v>1.7654867256637168</v>
      </c>
      <c r="L15" s="247">
        <f t="shared" si="10"/>
        <v>1.7654867256637168</v>
      </c>
    </row>
    <row r="16" spans="1:13" ht="35.25" customHeight="1" x14ac:dyDescent="0.25">
      <c r="A16" s="219">
        <v>7</v>
      </c>
      <c r="B16" s="220" t="s">
        <v>173</v>
      </c>
      <c r="C16" s="246">
        <f t="shared" si="5"/>
        <v>820</v>
      </c>
      <c r="D16" s="246">
        <f>'[2]Thu NSX'!$C$19</f>
        <v>820</v>
      </c>
      <c r="E16" s="246">
        <f t="shared" si="6"/>
        <v>713</v>
      </c>
      <c r="F16" s="246">
        <v>713</v>
      </c>
      <c r="G16" s="246">
        <f t="shared" si="7"/>
        <v>635</v>
      </c>
      <c r="H16" s="246">
        <f>'[1]THU NSX'!$C$19</f>
        <v>635</v>
      </c>
      <c r="I16" s="510">
        <v>635</v>
      </c>
      <c r="J16" s="246">
        <f t="shared" si="8"/>
        <v>635</v>
      </c>
      <c r="K16" s="247">
        <f t="shared" si="9"/>
        <v>0.89060308555399714</v>
      </c>
      <c r="L16" s="247">
        <f t="shared" si="10"/>
        <v>0.89060308555399714</v>
      </c>
    </row>
    <row r="17" spans="1:12" ht="35.25" customHeight="1" x14ac:dyDescent="0.25">
      <c r="A17" s="219">
        <v>8</v>
      </c>
      <c r="B17" s="220" t="s">
        <v>174</v>
      </c>
      <c r="C17" s="246">
        <f t="shared" si="5"/>
        <v>165</v>
      </c>
      <c r="D17" s="246">
        <f>'[2]Thu NSX'!$C$20</f>
        <v>165</v>
      </c>
      <c r="E17" s="246">
        <f t="shared" si="6"/>
        <v>96</v>
      </c>
      <c r="F17" s="246">
        <v>96</v>
      </c>
      <c r="G17" s="246">
        <f t="shared" si="7"/>
        <v>106</v>
      </c>
      <c r="H17" s="246">
        <f>'[1]THU NSX'!$C$20</f>
        <v>106</v>
      </c>
      <c r="I17" s="510">
        <v>106</v>
      </c>
      <c r="J17" s="246">
        <f t="shared" si="8"/>
        <v>106</v>
      </c>
      <c r="K17" s="247">
        <f t="shared" si="9"/>
        <v>1.1041666666666667</v>
      </c>
      <c r="L17" s="247">
        <f t="shared" si="10"/>
        <v>1.1041666666666667</v>
      </c>
    </row>
    <row r="18" spans="1:12" ht="35.25" customHeight="1" x14ac:dyDescent="0.25">
      <c r="A18" s="219">
        <v>9</v>
      </c>
      <c r="B18" s="220" t="s">
        <v>177</v>
      </c>
      <c r="C18" s="246">
        <f t="shared" si="5"/>
        <v>521</v>
      </c>
      <c r="D18" s="246">
        <f>'[2]Thu NSX'!$C$21</f>
        <v>521</v>
      </c>
      <c r="E18" s="246">
        <f t="shared" si="6"/>
        <v>622</v>
      </c>
      <c r="F18" s="246">
        <v>622</v>
      </c>
      <c r="G18" s="246">
        <f t="shared" si="7"/>
        <v>490</v>
      </c>
      <c r="H18" s="246">
        <f>'[1]THU NSX'!$C$21</f>
        <v>490</v>
      </c>
      <c r="I18" s="510">
        <v>490</v>
      </c>
      <c r="J18" s="246">
        <f t="shared" si="8"/>
        <v>490</v>
      </c>
      <c r="K18" s="247">
        <f t="shared" si="9"/>
        <v>0.78778135048231512</v>
      </c>
      <c r="L18" s="247">
        <f t="shared" si="10"/>
        <v>0.78778135048231512</v>
      </c>
    </row>
    <row r="19" spans="1:12" ht="35.25" customHeight="1" x14ac:dyDescent="0.25">
      <c r="A19" s="219">
        <v>10</v>
      </c>
      <c r="B19" s="220" t="s">
        <v>175</v>
      </c>
      <c r="C19" s="246">
        <f t="shared" si="5"/>
        <v>11215</v>
      </c>
      <c r="D19" s="246">
        <f>'[2]Thu NSX'!$C$22</f>
        <v>11215</v>
      </c>
      <c r="E19" s="246">
        <f t="shared" si="6"/>
        <v>14298</v>
      </c>
      <c r="F19" s="246">
        <v>14298</v>
      </c>
      <c r="G19" s="246">
        <f t="shared" si="7"/>
        <v>11785</v>
      </c>
      <c r="H19" s="246">
        <f>'[1]THU NSX'!$C$22</f>
        <v>11785</v>
      </c>
      <c r="I19" s="510">
        <v>19520</v>
      </c>
      <c r="J19" s="246">
        <f t="shared" si="8"/>
        <v>19520</v>
      </c>
      <c r="K19" s="247">
        <f t="shared" si="9"/>
        <v>1.3652259057210798</v>
      </c>
      <c r="L19" s="247">
        <f t="shared" si="10"/>
        <v>1.3652259057210798</v>
      </c>
    </row>
    <row r="20" spans="1:12" ht="35.25" customHeight="1" x14ac:dyDescent="0.25">
      <c r="A20" s="230">
        <v>11</v>
      </c>
      <c r="B20" s="248" t="s">
        <v>176</v>
      </c>
      <c r="C20" s="249">
        <f t="shared" si="5"/>
        <v>20100</v>
      </c>
      <c r="D20" s="249">
        <f>'[2]Thu NSX'!$C$23</f>
        <v>20100</v>
      </c>
      <c r="E20" s="249">
        <f t="shared" si="6"/>
        <v>9785</v>
      </c>
      <c r="F20" s="249">
        <v>9785</v>
      </c>
      <c r="G20" s="249">
        <f t="shared" si="7"/>
        <v>10886</v>
      </c>
      <c r="H20" s="249">
        <f>'[1]THU NSX'!$C$23</f>
        <v>10886</v>
      </c>
      <c r="I20" s="511">
        <v>75786</v>
      </c>
      <c r="J20" s="249">
        <f>I20</f>
        <v>75786</v>
      </c>
      <c r="K20" s="250">
        <f t="shared" si="9"/>
        <v>7.7451200817577925</v>
      </c>
      <c r="L20" s="250">
        <f t="shared" si="10"/>
        <v>7.7451200817577925</v>
      </c>
    </row>
    <row r="21" spans="1:12" hidden="1" x14ac:dyDescent="0.25">
      <c r="A21" s="251" t="s">
        <v>664</v>
      </c>
    </row>
    <row r="22" spans="1:12" hidden="1" x14ac:dyDescent="0.25">
      <c r="A22" s="234" t="s">
        <v>49</v>
      </c>
    </row>
    <row r="23" spans="1:12" x14ac:dyDescent="0.25">
      <c r="A23" s="234"/>
      <c r="F23" s="252"/>
    </row>
    <row r="24" spans="1:12" ht="54.75" customHeight="1" x14ac:dyDescent="0.25">
      <c r="A24" s="234"/>
      <c r="F24" s="15"/>
    </row>
    <row r="25" spans="1:12" x14ac:dyDescent="0.25">
      <c r="A25" s="234"/>
    </row>
    <row r="26" spans="1:12" x14ac:dyDescent="0.25">
      <c r="A26" s="234"/>
    </row>
    <row r="27" spans="1:12" x14ac:dyDescent="0.25">
      <c r="A27" s="253"/>
    </row>
  </sheetData>
  <mergeCells count="19">
    <mergeCell ref="A1:B1"/>
    <mergeCell ref="A4:A7"/>
    <mergeCell ref="B4:B7"/>
    <mergeCell ref="E4:F4"/>
    <mergeCell ref="G6:G7"/>
    <mergeCell ref="C4:D4"/>
    <mergeCell ref="A2:L2"/>
    <mergeCell ref="K4:L4"/>
    <mergeCell ref="I6:I7"/>
    <mergeCell ref="G4:J4"/>
    <mergeCell ref="C5:C7"/>
    <mergeCell ref="D5:D6"/>
    <mergeCell ref="E5:E7"/>
    <mergeCell ref="F5:F6"/>
    <mergeCell ref="G5:H5"/>
    <mergeCell ref="I5:J5"/>
    <mergeCell ref="J3:L3"/>
    <mergeCell ref="K5:K7"/>
    <mergeCell ref="L5:L6"/>
  </mergeCells>
  <phoneticPr fontId="16" type="noConversion"/>
  <pageMargins left="0.36" right="0.26" top="0.27" bottom="0.2" header="0.2" footer="0.2"/>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67"/>
  <sheetViews>
    <sheetView topLeftCell="A10" workbookViewId="0">
      <selection sqref="A1:O19"/>
    </sheetView>
  </sheetViews>
  <sheetFormatPr defaultRowHeight="15" x14ac:dyDescent="0.25"/>
  <cols>
    <col min="1" max="1" width="5" style="2" customWidth="1"/>
    <col min="2" max="2" width="18.7109375" style="2" customWidth="1"/>
    <col min="3" max="3" width="10.28515625" style="2" customWidth="1"/>
    <col min="4" max="15" width="10.85546875" style="2" customWidth="1"/>
    <col min="16" max="16384" width="9.140625" style="2"/>
  </cols>
  <sheetData>
    <row r="1" spans="1:15" x14ac:dyDescent="0.25">
      <c r="A1" s="530" t="s">
        <v>178</v>
      </c>
      <c r="B1" s="530"/>
      <c r="M1" s="208"/>
      <c r="N1" s="208" t="s">
        <v>50</v>
      </c>
    </row>
    <row r="2" spans="1:15" x14ac:dyDescent="0.25">
      <c r="A2" s="530" t="s">
        <v>411</v>
      </c>
      <c r="B2" s="530"/>
      <c r="C2" s="530"/>
      <c r="D2" s="530"/>
      <c r="E2" s="530"/>
      <c r="F2" s="530"/>
      <c r="G2" s="530"/>
      <c r="H2" s="530"/>
      <c r="I2" s="530"/>
      <c r="J2" s="530"/>
      <c r="K2" s="530"/>
      <c r="L2" s="530"/>
      <c r="M2" s="530"/>
      <c r="N2" s="530"/>
      <c r="O2" s="530"/>
    </row>
    <row r="3" spans="1:15" x14ac:dyDescent="0.25">
      <c r="A3" s="63"/>
      <c r="M3" s="63" t="s">
        <v>51</v>
      </c>
      <c r="N3" s="63"/>
    </row>
    <row r="4" spans="1:15" x14ac:dyDescent="0.25">
      <c r="A4" s="570" t="s">
        <v>13</v>
      </c>
      <c r="B4" s="600" t="s">
        <v>52</v>
      </c>
      <c r="C4" s="570" t="s">
        <v>53</v>
      </c>
      <c r="D4" s="600" t="s">
        <v>54</v>
      </c>
      <c r="E4" s="587" t="s">
        <v>46</v>
      </c>
      <c r="F4" s="588"/>
      <c r="G4" s="588"/>
      <c r="H4" s="588"/>
      <c r="I4" s="588"/>
      <c r="J4" s="588"/>
      <c r="K4" s="588"/>
      <c r="L4" s="588"/>
      <c r="M4" s="588"/>
      <c r="N4" s="588"/>
      <c r="O4" s="599"/>
    </row>
    <row r="5" spans="1:15" ht="75" x14ac:dyDescent="0.25">
      <c r="A5" s="570"/>
      <c r="B5" s="601"/>
      <c r="C5" s="570"/>
      <c r="D5" s="601"/>
      <c r="E5" s="254" t="s">
        <v>55</v>
      </c>
      <c r="F5" s="254" t="s">
        <v>56</v>
      </c>
      <c r="G5" s="254" t="s">
        <v>307</v>
      </c>
      <c r="H5" s="254" t="s">
        <v>308</v>
      </c>
      <c r="I5" s="254" t="s">
        <v>309</v>
      </c>
      <c r="J5" s="254" t="s">
        <v>310</v>
      </c>
      <c r="K5" s="254" t="s">
        <v>311</v>
      </c>
      <c r="L5" s="254" t="s">
        <v>427</v>
      </c>
      <c r="M5" s="254" t="s">
        <v>313</v>
      </c>
      <c r="N5" s="254" t="s">
        <v>8</v>
      </c>
      <c r="O5" s="254" t="s">
        <v>9</v>
      </c>
    </row>
    <row r="6" spans="1:15" x14ac:dyDescent="0.25">
      <c r="A6" s="209" t="s">
        <v>17</v>
      </c>
      <c r="B6" s="209" t="s">
        <v>18</v>
      </c>
      <c r="C6" s="209">
        <v>1</v>
      </c>
      <c r="D6" s="209">
        <v>2</v>
      </c>
      <c r="E6" s="209">
        <v>3</v>
      </c>
      <c r="F6" s="209">
        <v>4</v>
      </c>
      <c r="G6" s="209">
        <v>5</v>
      </c>
      <c r="H6" s="209">
        <v>6</v>
      </c>
      <c r="I6" s="209">
        <v>7</v>
      </c>
      <c r="J6" s="209">
        <v>8</v>
      </c>
      <c r="K6" s="209">
        <v>9</v>
      </c>
      <c r="L6" s="209">
        <v>10</v>
      </c>
      <c r="M6" s="209">
        <v>11</v>
      </c>
      <c r="N6" s="209">
        <v>12</v>
      </c>
      <c r="O6" s="209">
        <v>13</v>
      </c>
    </row>
    <row r="7" spans="1:15" s="268" customFormat="1" ht="14.25" x14ac:dyDescent="0.2">
      <c r="A7" s="265"/>
      <c r="B7" s="266" t="s">
        <v>57</v>
      </c>
      <c r="C7" s="267">
        <f>SUM(C8:C18)</f>
        <v>216220</v>
      </c>
      <c r="D7" s="267">
        <f>SUM(D8:D18)</f>
        <v>216220</v>
      </c>
      <c r="E7" s="267">
        <f t="shared" ref="E7" si="0">SUM(E8:E18)</f>
        <v>8540</v>
      </c>
      <c r="F7" s="267">
        <f>SUM(F8:F18)</f>
        <v>510</v>
      </c>
      <c r="G7" s="267">
        <f>SUM(G8:G18)</f>
        <v>90640</v>
      </c>
      <c r="H7" s="267">
        <f t="shared" ref="H7:O7" si="1">SUM(H8:H18)</f>
        <v>4500</v>
      </c>
      <c r="I7" s="267">
        <f t="shared" si="1"/>
        <v>30</v>
      </c>
      <c r="J7" s="267">
        <f t="shared" si="1"/>
        <v>5300</v>
      </c>
      <c r="K7" s="267">
        <f>SUM(K8:K18)</f>
        <v>1350</v>
      </c>
      <c r="L7" s="267">
        <f t="shared" si="1"/>
        <v>101400</v>
      </c>
      <c r="M7" s="267">
        <f t="shared" si="1"/>
        <v>2350</v>
      </c>
      <c r="N7" s="267">
        <f t="shared" si="1"/>
        <v>180</v>
      </c>
      <c r="O7" s="267">
        <f t="shared" si="1"/>
        <v>1420</v>
      </c>
    </row>
    <row r="8" spans="1:15" s="269" customFormat="1" ht="23.25" customHeight="1" x14ac:dyDescent="0.25">
      <c r="A8" s="219">
        <v>1</v>
      </c>
      <c r="B8" s="255" t="s">
        <v>287</v>
      </c>
      <c r="C8" s="246">
        <f>D8</f>
        <v>53346</v>
      </c>
      <c r="D8" s="246">
        <f t="shared" ref="D8:D18" si="2">SUM(E8:O8)</f>
        <v>53346</v>
      </c>
      <c r="E8" s="246">
        <v>200</v>
      </c>
      <c r="F8" s="246">
        <f>210+30+30</f>
        <v>270</v>
      </c>
      <c r="G8" s="246">
        <v>10060</v>
      </c>
      <c r="H8" s="256">
        <f>2500+500</f>
        <v>3000</v>
      </c>
      <c r="I8" s="246">
        <v>27</v>
      </c>
      <c r="J8" s="256">
        <v>2500</v>
      </c>
      <c r="K8" s="256">
        <f>395+100+234</f>
        <v>729</v>
      </c>
      <c r="L8" s="256">
        <v>35000</v>
      </c>
      <c r="M8" s="256">
        <v>330</v>
      </c>
      <c r="N8" s="256"/>
      <c r="O8" s="257">
        <v>1230</v>
      </c>
    </row>
    <row r="9" spans="1:15" ht="23.25" customHeight="1" x14ac:dyDescent="0.25">
      <c r="A9" s="219">
        <v>2</v>
      </c>
      <c r="B9" s="255" t="s">
        <v>171</v>
      </c>
      <c r="C9" s="246">
        <f t="shared" ref="C9:C18" si="3">D9</f>
        <v>37151</v>
      </c>
      <c r="D9" s="246">
        <f t="shared" si="2"/>
        <v>37151</v>
      </c>
      <c r="E9" s="246"/>
      <c r="F9" s="246">
        <v>120</v>
      </c>
      <c r="G9" s="246">
        <v>35170</v>
      </c>
      <c r="H9" s="256">
        <f>30+200</f>
        <v>230</v>
      </c>
      <c r="I9" s="246">
        <v>1</v>
      </c>
      <c r="J9" s="256">
        <v>1000</v>
      </c>
      <c r="K9" s="256">
        <f>110+20</f>
        <v>130</v>
      </c>
      <c r="L9" s="256">
        <v>200</v>
      </c>
      <c r="M9" s="256">
        <v>200</v>
      </c>
      <c r="N9" s="256">
        <v>70</v>
      </c>
      <c r="O9" s="257">
        <v>30</v>
      </c>
    </row>
    <row r="10" spans="1:15" ht="23.25" customHeight="1" x14ac:dyDescent="0.25">
      <c r="A10" s="219">
        <v>3</v>
      </c>
      <c r="B10" s="255" t="s">
        <v>425</v>
      </c>
      <c r="C10" s="246">
        <f t="shared" si="3"/>
        <v>508</v>
      </c>
      <c r="D10" s="246">
        <f t="shared" si="2"/>
        <v>508</v>
      </c>
      <c r="E10" s="246"/>
      <c r="F10" s="246"/>
      <c r="G10" s="246">
        <v>70</v>
      </c>
      <c r="H10" s="256">
        <v>120</v>
      </c>
      <c r="I10" s="246"/>
      <c r="J10" s="256">
        <v>100</v>
      </c>
      <c r="K10" s="256">
        <f>90+5</f>
        <v>95</v>
      </c>
      <c r="L10" s="256">
        <v>100</v>
      </c>
      <c r="M10" s="256">
        <v>20</v>
      </c>
      <c r="N10" s="256"/>
      <c r="O10" s="257">
        <v>3</v>
      </c>
    </row>
    <row r="11" spans="1:15" ht="23.25" customHeight="1" x14ac:dyDescent="0.25">
      <c r="A11" s="219">
        <v>4</v>
      </c>
      <c r="B11" s="255" t="s">
        <v>170</v>
      </c>
      <c r="C11" s="246">
        <f t="shared" si="3"/>
        <v>27401</v>
      </c>
      <c r="D11" s="246">
        <f t="shared" si="2"/>
        <v>27401</v>
      </c>
      <c r="E11" s="246"/>
      <c r="F11" s="246">
        <v>100</v>
      </c>
      <c r="G11" s="246">
        <v>25990</v>
      </c>
      <c r="H11" s="256">
        <v>230</v>
      </c>
      <c r="I11" s="246">
        <v>1</v>
      </c>
      <c r="J11" s="256">
        <v>500</v>
      </c>
      <c r="K11" s="256">
        <f>40+20</f>
        <v>60</v>
      </c>
      <c r="L11" s="256">
        <v>100</v>
      </c>
      <c r="M11" s="256">
        <v>300</v>
      </c>
      <c r="N11" s="256">
        <v>100</v>
      </c>
      <c r="O11" s="257">
        <v>20</v>
      </c>
    </row>
    <row r="12" spans="1:15" ht="23.25" customHeight="1" x14ac:dyDescent="0.25">
      <c r="A12" s="219">
        <v>5</v>
      </c>
      <c r="B12" s="255" t="s">
        <v>169</v>
      </c>
      <c r="C12" s="246">
        <f t="shared" si="3"/>
        <v>479</v>
      </c>
      <c r="D12" s="246">
        <f t="shared" si="2"/>
        <v>479</v>
      </c>
      <c r="E12" s="246"/>
      <c r="F12" s="246"/>
      <c r="G12" s="246">
        <v>20</v>
      </c>
      <c r="H12" s="256">
        <f>230</f>
        <v>230</v>
      </c>
      <c r="I12" s="246">
        <v>1</v>
      </c>
      <c r="J12" s="256">
        <v>100</v>
      </c>
      <c r="K12" s="256">
        <f>15+3</f>
        <v>18</v>
      </c>
      <c r="L12" s="256">
        <v>100</v>
      </c>
      <c r="M12" s="256"/>
      <c r="N12" s="256"/>
      <c r="O12" s="257">
        <v>10</v>
      </c>
    </row>
    <row r="13" spans="1:15" ht="23.25" customHeight="1" x14ac:dyDescent="0.25">
      <c r="A13" s="219">
        <v>6</v>
      </c>
      <c r="B13" s="255" t="s">
        <v>172</v>
      </c>
      <c r="C13" s="246">
        <f t="shared" si="3"/>
        <v>798</v>
      </c>
      <c r="D13" s="246">
        <f t="shared" si="2"/>
        <v>798</v>
      </c>
      <c r="E13" s="246"/>
      <c r="F13" s="246"/>
      <c r="G13" s="246">
        <v>20</v>
      </c>
      <c r="H13" s="256">
        <v>60</v>
      </c>
      <c r="I13" s="246"/>
      <c r="J13" s="256">
        <v>50</v>
      </c>
      <c r="K13" s="256">
        <f>5+3</f>
        <v>8</v>
      </c>
      <c r="L13" s="256">
        <v>650</v>
      </c>
      <c r="M13" s="256">
        <v>0</v>
      </c>
      <c r="N13" s="256"/>
      <c r="O13" s="257">
        <v>10</v>
      </c>
    </row>
    <row r="14" spans="1:15" ht="23.25" customHeight="1" x14ac:dyDescent="0.25">
      <c r="A14" s="219">
        <v>7</v>
      </c>
      <c r="B14" s="255" t="s">
        <v>173</v>
      </c>
      <c r="C14" s="246">
        <f t="shared" si="3"/>
        <v>635</v>
      </c>
      <c r="D14" s="246">
        <f t="shared" si="2"/>
        <v>635</v>
      </c>
      <c r="E14" s="246"/>
      <c r="F14" s="246"/>
      <c r="G14" s="246">
        <v>140</v>
      </c>
      <c r="H14" s="256">
        <v>120</v>
      </c>
      <c r="I14" s="246"/>
      <c r="J14" s="256">
        <v>100</v>
      </c>
      <c r="K14" s="256">
        <f>145+10</f>
        <v>155</v>
      </c>
      <c r="L14" s="256">
        <v>100</v>
      </c>
      <c r="M14" s="256"/>
      <c r="N14" s="256"/>
      <c r="O14" s="257">
        <v>20</v>
      </c>
    </row>
    <row r="15" spans="1:15" ht="23.25" customHeight="1" x14ac:dyDescent="0.25">
      <c r="A15" s="219">
        <v>8</v>
      </c>
      <c r="B15" s="255" t="s">
        <v>174</v>
      </c>
      <c r="C15" s="246">
        <f t="shared" si="3"/>
        <v>106</v>
      </c>
      <c r="D15" s="246">
        <f t="shared" si="2"/>
        <v>106</v>
      </c>
      <c r="E15" s="246"/>
      <c r="F15" s="246"/>
      <c r="G15" s="246">
        <v>10</v>
      </c>
      <c r="H15" s="256">
        <v>30</v>
      </c>
      <c r="I15" s="246"/>
      <c r="J15" s="256">
        <v>50</v>
      </c>
      <c r="K15" s="256">
        <f>10+5</f>
        <v>15</v>
      </c>
      <c r="L15" s="256">
        <v>0</v>
      </c>
      <c r="M15" s="256"/>
      <c r="N15" s="256"/>
      <c r="O15" s="257">
        <v>1</v>
      </c>
    </row>
    <row r="16" spans="1:15" ht="23.25" customHeight="1" x14ac:dyDescent="0.25">
      <c r="A16" s="219">
        <v>9</v>
      </c>
      <c r="B16" s="255" t="s">
        <v>177</v>
      </c>
      <c r="C16" s="246">
        <f t="shared" si="3"/>
        <v>490</v>
      </c>
      <c r="D16" s="246">
        <f t="shared" si="2"/>
        <v>490</v>
      </c>
      <c r="E16" s="246"/>
      <c r="F16" s="246"/>
      <c r="G16" s="246">
        <v>50</v>
      </c>
      <c r="H16" s="256">
        <f>100</f>
        <v>100</v>
      </c>
      <c r="I16" s="246"/>
      <c r="J16" s="256">
        <v>200</v>
      </c>
      <c r="K16" s="256">
        <f>20</f>
        <v>20</v>
      </c>
      <c r="L16" s="256">
        <v>100</v>
      </c>
      <c r="M16" s="256"/>
      <c r="N16" s="256"/>
      <c r="O16" s="257">
        <v>20</v>
      </c>
    </row>
    <row r="17" spans="1:15" ht="23.25" customHeight="1" x14ac:dyDescent="0.25">
      <c r="A17" s="219">
        <v>10</v>
      </c>
      <c r="B17" s="255" t="s">
        <v>175</v>
      </c>
      <c r="C17" s="246">
        <f t="shared" si="3"/>
        <v>19520</v>
      </c>
      <c r="D17" s="246">
        <f t="shared" si="2"/>
        <v>19520</v>
      </c>
      <c r="E17" s="246"/>
      <c r="F17" s="246"/>
      <c r="G17" s="246">
        <v>18580</v>
      </c>
      <c r="H17" s="256">
        <v>130</v>
      </c>
      <c r="I17" s="246"/>
      <c r="J17" s="256">
        <v>200</v>
      </c>
      <c r="K17" s="256">
        <v>30</v>
      </c>
      <c r="L17" s="256">
        <v>50</v>
      </c>
      <c r="M17" s="256">
        <v>500</v>
      </c>
      <c r="N17" s="256"/>
      <c r="O17" s="257">
        <v>30</v>
      </c>
    </row>
    <row r="18" spans="1:15" ht="23.25" customHeight="1" x14ac:dyDescent="0.25">
      <c r="A18" s="219">
        <v>11</v>
      </c>
      <c r="B18" s="255" t="s">
        <v>426</v>
      </c>
      <c r="C18" s="246">
        <f t="shared" si="3"/>
        <v>75786</v>
      </c>
      <c r="D18" s="246">
        <f t="shared" si="2"/>
        <v>75786</v>
      </c>
      <c r="E18" s="246">
        <f>8325+15</f>
        <v>8340</v>
      </c>
      <c r="F18" s="246">
        <f>20</f>
        <v>20</v>
      </c>
      <c r="G18" s="246">
        <v>530</v>
      </c>
      <c r="H18" s="256">
        <v>250</v>
      </c>
      <c r="I18" s="246"/>
      <c r="J18" s="256">
        <v>500</v>
      </c>
      <c r="K18" s="256">
        <v>90</v>
      </c>
      <c r="L18" s="256">
        <v>65000</v>
      </c>
      <c r="M18" s="256">
        <v>1000</v>
      </c>
      <c r="N18" s="256">
        <v>10</v>
      </c>
      <c r="O18" s="257">
        <v>46</v>
      </c>
    </row>
    <row r="19" spans="1:15" x14ac:dyDescent="0.25">
      <c r="A19" s="230"/>
      <c r="B19" s="248"/>
      <c r="C19" s="249"/>
      <c r="D19" s="249"/>
      <c r="E19" s="249"/>
      <c r="F19" s="249"/>
      <c r="G19" s="249"/>
      <c r="H19" s="249"/>
      <c r="I19" s="249"/>
      <c r="J19" s="249"/>
      <c r="K19" s="249"/>
      <c r="L19" s="249"/>
      <c r="M19" s="249"/>
      <c r="N19" s="249"/>
      <c r="O19" s="249"/>
    </row>
    <row r="20" spans="1:15" hidden="1" x14ac:dyDescent="0.25">
      <c r="A20" s="251" t="s">
        <v>664</v>
      </c>
    </row>
    <row r="21" spans="1:15" hidden="1" x14ac:dyDescent="0.25">
      <c r="A21" s="234" t="s">
        <v>58</v>
      </c>
    </row>
    <row r="22" spans="1:15" hidden="1" x14ac:dyDescent="0.25">
      <c r="A22" s="234" t="s">
        <v>59</v>
      </c>
    </row>
    <row r="23" spans="1:15" hidden="1" x14ac:dyDescent="0.25">
      <c r="A23" s="235"/>
    </row>
    <row r="26" spans="1:15" x14ac:dyDescent="0.25">
      <c r="C26" s="15"/>
    </row>
    <row r="43" spans="1:15" x14ac:dyDescent="0.25">
      <c r="A43" s="530" t="s">
        <v>178</v>
      </c>
      <c r="B43" s="530"/>
      <c r="M43" s="208" t="s">
        <v>50</v>
      </c>
      <c r="N43" s="208" t="s">
        <v>50</v>
      </c>
    </row>
    <row r="44" spans="1:15" x14ac:dyDescent="0.25">
      <c r="A44" s="530" t="s">
        <v>315</v>
      </c>
      <c r="B44" s="530"/>
      <c r="C44" s="530"/>
      <c r="D44" s="530"/>
      <c r="E44" s="530"/>
      <c r="F44" s="530"/>
      <c r="G44" s="530"/>
      <c r="H44" s="530"/>
      <c r="I44" s="530"/>
      <c r="J44" s="530"/>
      <c r="K44" s="530"/>
      <c r="L44" s="530"/>
      <c r="M44" s="530"/>
      <c r="N44" s="530"/>
      <c r="O44" s="530"/>
    </row>
    <row r="45" spans="1:15" x14ac:dyDescent="0.25">
      <c r="A45" s="598" t="s">
        <v>6</v>
      </c>
      <c r="B45" s="598"/>
      <c r="C45" s="598"/>
      <c r="D45" s="598"/>
      <c r="E45" s="598"/>
      <c r="F45" s="598"/>
      <c r="G45" s="598"/>
      <c r="H45" s="598"/>
      <c r="I45" s="598"/>
      <c r="J45" s="598"/>
      <c r="K45" s="598"/>
      <c r="L45" s="598"/>
      <c r="M45" s="598"/>
      <c r="N45" s="598"/>
      <c r="O45" s="598"/>
    </row>
    <row r="46" spans="1:15" hidden="1" x14ac:dyDescent="0.25">
      <c r="A46" s="530" t="s">
        <v>11</v>
      </c>
      <c r="B46" s="530"/>
      <c r="C46" s="530"/>
      <c r="D46" s="530"/>
      <c r="E46" s="530"/>
      <c r="F46" s="530"/>
      <c r="G46" s="530"/>
      <c r="H46" s="530"/>
      <c r="I46" s="530"/>
      <c r="J46" s="530"/>
      <c r="K46" s="530"/>
      <c r="L46" s="530"/>
      <c r="M46" s="530"/>
      <c r="N46" s="530"/>
      <c r="O46" s="530"/>
    </row>
    <row r="47" spans="1:15" x14ac:dyDescent="0.25">
      <c r="A47" s="63"/>
      <c r="M47" s="63" t="s">
        <v>51</v>
      </c>
      <c r="N47" s="63" t="s">
        <v>51</v>
      </c>
    </row>
    <row r="48" spans="1:15" ht="28.5" x14ac:dyDescent="0.25">
      <c r="A48" s="570" t="s">
        <v>13</v>
      </c>
      <c r="B48" s="209" t="s">
        <v>52</v>
      </c>
      <c r="C48" s="570" t="s">
        <v>53</v>
      </c>
      <c r="D48" s="209" t="s">
        <v>54</v>
      </c>
      <c r="E48" s="570" t="s">
        <v>46</v>
      </c>
      <c r="F48" s="570"/>
      <c r="G48" s="570"/>
      <c r="H48" s="570"/>
      <c r="I48" s="570"/>
      <c r="J48" s="570"/>
      <c r="K48" s="570"/>
      <c r="L48" s="570"/>
      <c r="M48" s="570"/>
      <c r="N48" s="570"/>
      <c r="O48" s="570"/>
    </row>
    <row r="49" spans="1:15" ht="85.5" x14ac:dyDescent="0.25">
      <c r="A49" s="570"/>
      <c r="B49" s="209">
        <v>-1</v>
      </c>
      <c r="C49" s="570"/>
      <c r="D49" s="209">
        <v>-2</v>
      </c>
      <c r="E49" s="209" t="s">
        <v>55</v>
      </c>
      <c r="F49" s="209" t="s">
        <v>56</v>
      </c>
      <c r="G49" s="209" t="s">
        <v>307</v>
      </c>
      <c r="H49" s="209" t="s">
        <v>308</v>
      </c>
      <c r="I49" s="209" t="s">
        <v>309</v>
      </c>
      <c r="J49" s="209" t="s">
        <v>310</v>
      </c>
      <c r="K49" s="209" t="s">
        <v>311</v>
      </c>
      <c r="L49" s="209" t="s">
        <v>312</v>
      </c>
      <c r="M49" s="209" t="s">
        <v>313</v>
      </c>
      <c r="N49" s="209" t="s">
        <v>313</v>
      </c>
      <c r="O49" s="209" t="s">
        <v>314</v>
      </c>
    </row>
    <row r="50" spans="1:15" x14ac:dyDescent="0.25">
      <c r="A50" s="209" t="s">
        <v>17</v>
      </c>
      <c r="B50" s="209" t="s">
        <v>18</v>
      </c>
      <c r="C50" s="209">
        <v>1</v>
      </c>
      <c r="D50" s="209">
        <v>2</v>
      </c>
      <c r="E50" s="209">
        <v>3</v>
      </c>
      <c r="F50" s="209">
        <v>4</v>
      </c>
      <c r="G50" s="209">
        <v>5</v>
      </c>
      <c r="H50" s="209">
        <v>6</v>
      </c>
      <c r="I50" s="209">
        <v>7</v>
      </c>
      <c r="J50" s="209">
        <v>8</v>
      </c>
      <c r="K50" s="209">
        <v>9</v>
      </c>
      <c r="L50" s="209">
        <v>10</v>
      </c>
      <c r="M50" s="209">
        <v>11</v>
      </c>
      <c r="N50" s="209">
        <v>11</v>
      </c>
      <c r="O50" s="209">
        <v>12</v>
      </c>
    </row>
    <row r="51" spans="1:15" s="18" customFormat="1" ht="14.25" x14ac:dyDescent="0.2">
      <c r="A51" s="258"/>
      <c r="B51" s="259" t="s">
        <v>57</v>
      </c>
      <c r="C51" s="260" t="e">
        <f>SUM(C52:C62)</f>
        <v>#REF!</v>
      </c>
      <c r="D51" s="260">
        <f t="shared" ref="D51:O51" si="4">SUM(D52:D62)</f>
        <v>92140</v>
      </c>
      <c r="E51" s="260">
        <f t="shared" si="4"/>
        <v>8210</v>
      </c>
      <c r="F51" s="260">
        <f t="shared" si="4"/>
        <v>120</v>
      </c>
      <c r="G51" s="260">
        <f t="shared" si="4"/>
        <v>68295</v>
      </c>
      <c r="H51" s="260">
        <f t="shared" si="4"/>
        <v>3300</v>
      </c>
      <c r="I51" s="260">
        <f t="shared" si="4"/>
        <v>30</v>
      </c>
      <c r="J51" s="260">
        <f t="shared" si="4"/>
        <v>5200</v>
      </c>
      <c r="K51" s="260">
        <f t="shared" si="4"/>
        <v>1230</v>
      </c>
      <c r="L51" s="260">
        <f t="shared" si="4"/>
        <v>3000</v>
      </c>
      <c r="M51" s="260">
        <f>SUM(M52:M62)</f>
        <v>720</v>
      </c>
      <c r="N51" s="260">
        <f t="shared" si="4"/>
        <v>720</v>
      </c>
      <c r="O51" s="260">
        <f t="shared" si="4"/>
        <v>1315</v>
      </c>
    </row>
    <row r="52" spans="1:15" x14ac:dyDescent="0.25">
      <c r="A52" s="236">
        <v>1</v>
      </c>
      <c r="B52" s="237" t="s">
        <v>167</v>
      </c>
      <c r="C52" s="261" t="e">
        <f>D52+#REF!+#REF!</f>
        <v>#REF!</v>
      </c>
      <c r="D52" s="261">
        <f t="shared" ref="D52:D62" si="5">SUM(E52:O52)</f>
        <v>15955</v>
      </c>
      <c r="E52" s="261"/>
      <c r="F52" s="261">
        <v>100</v>
      </c>
      <c r="G52" s="261">
        <v>6570</v>
      </c>
      <c r="H52" s="261">
        <v>2500</v>
      </c>
      <c r="I52" s="261">
        <v>30</v>
      </c>
      <c r="J52" s="261">
        <v>2850</v>
      </c>
      <c r="K52" s="261">
        <v>585</v>
      </c>
      <c r="L52" s="261">
        <v>2000</v>
      </c>
      <c r="M52" s="261">
        <v>50</v>
      </c>
      <c r="N52" s="261">
        <v>50</v>
      </c>
      <c r="O52" s="261">
        <v>1220</v>
      </c>
    </row>
    <row r="53" spans="1:15" x14ac:dyDescent="0.25">
      <c r="A53" s="236">
        <v>2</v>
      </c>
      <c r="B53" s="237" t="s">
        <v>168</v>
      </c>
      <c r="C53" s="261" t="e">
        <f>D53+#REF!+#REF!</f>
        <v>#REF!</v>
      </c>
      <c r="D53" s="261">
        <f t="shared" si="5"/>
        <v>841</v>
      </c>
      <c r="E53" s="261"/>
      <c r="F53" s="261"/>
      <c r="G53" s="261">
        <v>500</v>
      </c>
      <c r="H53" s="261">
        <v>70</v>
      </c>
      <c r="I53" s="261"/>
      <c r="J53" s="261">
        <v>150</v>
      </c>
      <c r="K53" s="261">
        <v>20</v>
      </c>
      <c r="L53" s="261">
        <v>100</v>
      </c>
      <c r="M53" s="261"/>
      <c r="N53" s="261"/>
      <c r="O53" s="261">
        <v>1</v>
      </c>
    </row>
    <row r="54" spans="1:15" ht="22.5" customHeight="1" x14ac:dyDescent="0.25">
      <c r="A54" s="236">
        <v>3</v>
      </c>
      <c r="B54" s="237" t="s">
        <v>169</v>
      </c>
      <c r="C54" s="261" t="e">
        <f>D54+#REF!+#REF!</f>
        <v>#REF!</v>
      </c>
      <c r="D54" s="261">
        <f t="shared" si="5"/>
        <v>442</v>
      </c>
      <c r="E54" s="261"/>
      <c r="F54" s="261"/>
      <c r="G54" s="261">
        <v>50</v>
      </c>
      <c r="H54" s="261">
        <v>70</v>
      </c>
      <c r="I54" s="261"/>
      <c r="J54" s="261">
        <v>100</v>
      </c>
      <c r="K54" s="261">
        <v>17</v>
      </c>
      <c r="L54" s="261">
        <v>100</v>
      </c>
      <c r="M54" s="261">
        <v>50</v>
      </c>
      <c r="N54" s="261">
        <v>50</v>
      </c>
      <c r="O54" s="261">
        <v>5</v>
      </c>
    </row>
    <row r="55" spans="1:15" x14ac:dyDescent="0.25">
      <c r="A55" s="236">
        <v>4</v>
      </c>
      <c r="B55" s="237" t="s">
        <v>170</v>
      </c>
      <c r="C55" s="261" t="e">
        <f>D55+#REF!+#REF!</f>
        <v>#REF!</v>
      </c>
      <c r="D55" s="261">
        <f t="shared" si="5"/>
        <v>26135</v>
      </c>
      <c r="E55" s="261"/>
      <c r="F55" s="261"/>
      <c r="G55" s="261">
        <v>25270</v>
      </c>
      <c r="H55" s="261">
        <v>125</v>
      </c>
      <c r="I55" s="261"/>
      <c r="J55" s="261">
        <v>200</v>
      </c>
      <c r="K55" s="261">
        <v>30</v>
      </c>
      <c r="L55" s="261">
        <v>100</v>
      </c>
      <c r="M55" s="261">
        <v>200</v>
      </c>
      <c r="N55" s="261">
        <v>200</v>
      </c>
      <c r="O55" s="261">
        <v>10</v>
      </c>
    </row>
    <row r="56" spans="1:15" x14ac:dyDescent="0.25">
      <c r="A56" s="236">
        <v>5</v>
      </c>
      <c r="B56" s="237" t="s">
        <v>171</v>
      </c>
      <c r="C56" s="261" t="e">
        <f>D56+#REF!+#REF!</f>
        <v>#REF!</v>
      </c>
      <c r="D56" s="261">
        <f t="shared" si="5"/>
        <v>29350</v>
      </c>
      <c r="E56" s="261"/>
      <c r="F56" s="261"/>
      <c r="G56" s="261">
        <v>28550</v>
      </c>
      <c r="H56" s="261">
        <v>95</v>
      </c>
      <c r="I56" s="261"/>
      <c r="J56" s="261">
        <v>500</v>
      </c>
      <c r="K56" s="261">
        <v>30</v>
      </c>
      <c r="L56" s="261">
        <v>150</v>
      </c>
      <c r="M56" s="261"/>
      <c r="N56" s="261"/>
      <c r="O56" s="261">
        <v>25</v>
      </c>
    </row>
    <row r="57" spans="1:15" x14ac:dyDescent="0.25">
      <c r="A57" s="236">
        <v>6</v>
      </c>
      <c r="B57" s="237" t="s">
        <v>172</v>
      </c>
      <c r="C57" s="261" t="e">
        <f>D57+#REF!+#REF!</f>
        <v>#REF!</v>
      </c>
      <c r="D57" s="261">
        <f t="shared" si="5"/>
        <v>219</v>
      </c>
      <c r="E57" s="261"/>
      <c r="F57" s="261"/>
      <c r="G57" s="261">
        <v>50</v>
      </c>
      <c r="H57" s="261">
        <v>70</v>
      </c>
      <c r="I57" s="261"/>
      <c r="J57" s="261">
        <v>40</v>
      </c>
      <c r="K57" s="261">
        <v>7</v>
      </c>
      <c r="L57" s="261">
        <v>50</v>
      </c>
      <c r="M57" s="261"/>
      <c r="N57" s="261"/>
      <c r="O57" s="261">
        <v>2</v>
      </c>
    </row>
    <row r="58" spans="1:15" x14ac:dyDescent="0.25">
      <c r="A58" s="236">
        <v>7</v>
      </c>
      <c r="B58" s="237" t="s">
        <v>173</v>
      </c>
      <c r="C58" s="261" t="e">
        <f>D58+#REF!+#REF!</f>
        <v>#REF!</v>
      </c>
      <c r="D58" s="261">
        <f t="shared" si="5"/>
        <v>952</v>
      </c>
      <c r="E58" s="261"/>
      <c r="F58" s="261"/>
      <c r="G58" s="261">
        <v>430</v>
      </c>
      <c r="H58" s="261">
        <v>120</v>
      </c>
      <c r="I58" s="261"/>
      <c r="J58" s="261">
        <v>100</v>
      </c>
      <c r="K58" s="261">
        <v>127</v>
      </c>
      <c r="L58" s="261">
        <v>150</v>
      </c>
      <c r="M58" s="261"/>
      <c r="N58" s="261"/>
      <c r="O58" s="261">
        <v>25</v>
      </c>
    </row>
    <row r="59" spans="1:15" x14ac:dyDescent="0.25">
      <c r="A59" s="236">
        <v>8</v>
      </c>
      <c r="B59" s="237" t="s">
        <v>174</v>
      </c>
      <c r="C59" s="261" t="e">
        <f>D59+#REF!+#REF!</f>
        <v>#REF!</v>
      </c>
      <c r="D59" s="261">
        <f t="shared" si="5"/>
        <v>97</v>
      </c>
      <c r="E59" s="261"/>
      <c r="F59" s="261"/>
      <c r="G59" s="261">
        <v>50</v>
      </c>
      <c r="H59" s="261">
        <v>30</v>
      </c>
      <c r="I59" s="261"/>
      <c r="J59" s="261">
        <v>10</v>
      </c>
      <c r="K59" s="261">
        <v>6</v>
      </c>
      <c r="L59" s="261"/>
      <c r="M59" s="261"/>
      <c r="N59" s="261"/>
      <c r="O59" s="261">
        <v>1</v>
      </c>
    </row>
    <row r="60" spans="1:15" x14ac:dyDescent="0.25">
      <c r="A60" s="236">
        <v>9</v>
      </c>
      <c r="B60" s="237" t="s">
        <v>177</v>
      </c>
      <c r="C60" s="261" t="e">
        <f>D60+#REF!+#REF!</f>
        <v>#REF!</v>
      </c>
      <c r="D60" s="261">
        <f t="shared" si="5"/>
        <v>396</v>
      </c>
      <c r="E60" s="261"/>
      <c r="F60" s="261"/>
      <c r="G60" s="261">
        <v>100</v>
      </c>
      <c r="H60" s="261">
        <v>70</v>
      </c>
      <c r="I60" s="261"/>
      <c r="J60" s="261">
        <v>100</v>
      </c>
      <c r="K60" s="261">
        <v>15</v>
      </c>
      <c r="L60" s="261">
        <v>110</v>
      </c>
      <c r="M60" s="261"/>
      <c r="N60" s="261"/>
      <c r="O60" s="261">
        <v>1</v>
      </c>
    </row>
    <row r="61" spans="1:15" x14ac:dyDescent="0.25">
      <c r="A61" s="236">
        <v>10</v>
      </c>
      <c r="B61" s="237" t="s">
        <v>175</v>
      </c>
      <c r="C61" s="261" t="e">
        <f>D61+#REF!+#REF!</f>
        <v>#REF!</v>
      </c>
      <c r="D61" s="261">
        <f t="shared" si="5"/>
        <v>6978</v>
      </c>
      <c r="E61" s="261"/>
      <c r="F61" s="261"/>
      <c r="G61" s="261">
        <v>6500</v>
      </c>
      <c r="H61" s="261">
        <v>70</v>
      </c>
      <c r="I61" s="261"/>
      <c r="J61" s="261">
        <v>150</v>
      </c>
      <c r="K61" s="261">
        <v>118</v>
      </c>
      <c r="L61" s="261">
        <v>120</v>
      </c>
      <c r="M61" s="261"/>
      <c r="N61" s="261"/>
      <c r="O61" s="261">
        <v>20</v>
      </c>
    </row>
    <row r="62" spans="1:15" x14ac:dyDescent="0.25">
      <c r="A62" s="236">
        <v>11</v>
      </c>
      <c r="B62" s="262" t="s">
        <v>176</v>
      </c>
      <c r="C62" s="261" t="e">
        <f>D62+#REF!+#REF!</f>
        <v>#REF!</v>
      </c>
      <c r="D62" s="261">
        <f t="shared" si="5"/>
        <v>10775</v>
      </c>
      <c r="E62" s="261">
        <f>8210</f>
        <v>8210</v>
      </c>
      <c r="F62" s="261">
        <v>20</v>
      </c>
      <c r="G62" s="261">
        <v>225</v>
      </c>
      <c r="H62" s="261">
        <v>80</v>
      </c>
      <c r="I62" s="261"/>
      <c r="J62" s="261">
        <v>1000</v>
      </c>
      <c r="K62" s="261">
        <v>275</v>
      </c>
      <c r="L62" s="261">
        <v>120</v>
      </c>
      <c r="M62" s="261">
        <v>420</v>
      </c>
      <c r="N62" s="261">
        <v>420</v>
      </c>
      <c r="O62" s="261">
        <v>5</v>
      </c>
    </row>
    <row r="63" spans="1:15" x14ac:dyDescent="0.25">
      <c r="A63" s="238"/>
      <c r="B63" s="263"/>
      <c r="C63" s="264"/>
      <c r="D63" s="264"/>
      <c r="E63" s="264"/>
      <c r="F63" s="264"/>
      <c r="G63" s="264"/>
      <c r="H63" s="264"/>
      <c r="I63" s="264"/>
      <c r="J63" s="264"/>
      <c r="K63" s="264"/>
      <c r="L63" s="264"/>
      <c r="M63" s="264"/>
      <c r="N63" s="264"/>
      <c r="O63" s="264"/>
    </row>
    <row r="64" spans="1:15" hidden="1" x14ac:dyDescent="0.25">
      <c r="A64" s="251" t="s">
        <v>664</v>
      </c>
    </row>
    <row r="65" spans="1:1" hidden="1" x14ac:dyDescent="0.25">
      <c r="A65" s="234" t="s">
        <v>58</v>
      </c>
    </row>
    <row r="66" spans="1:1" hidden="1" x14ac:dyDescent="0.25">
      <c r="A66" s="234" t="s">
        <v>59</v>
      </c>
    </row>
    <row r="67" spans="1:1" hidden="1" x14ac:dyDescent="0.25">
      <c r="A67" s="235"/>
    </row>
  </sheetData>
  <mergeCells count="14">
    <mergeCell ref="A1:B1"/>
    <mergeCell ref="A2:O2"/>
    <mergeCell ref="A4:A5"/>
    <mergeCell ref="C4:C5"/>
    <mergeCell ref="E4:O4"/>
    <mergeCell ref="D4:D5"/>
    <mergeCell ref="B4:B5"/>
    <mergeCell ref="A48:A49"/>
    <mergeCell ref="C48:C49"/>
    <mergeCell ref="E48:O48"/>
    <mergeCell ref="A43:B43"/>
    <mergeCell ref="A44:O44"/>
    <mergeCell ref="A45:O45"/>
    <mergeCell ref="A46:O46"/>
  </mergeCells>
  <phoneticPr fontId="16" type="noConversion"/>
  <printOptions horizontalCentered="1"/>
  <pageMargins left="0.31496062992125984" right="0.27559055118110237" top="0.35433070866141736" bottom="0.31496062992125984"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H108"/>
  <sheetViews>
    <sheetView topLeftCell="A10" workbookViewId="0">
      <selection activeCell="H4" sqref="H1:H1048576"/>
    </sheetView>
  </sheetViews>
  <sheetFormatPr defaultRowHeight="15" x14ac:dyDescent="0.25"/>
  <cols>
    <col min="1" max="1" width="7" style="285" customWidth="1"/>
    <col min="2" max="2" width="50.28515625" style="285" customWidth="1"/>
    <col min="3" max="3" width="12.7109375" style="285" customWidth="1"/>
    <col min="4" max="4" width="12.85546875" style="285" customWidth="1"/>
    <col min="5" max="5" width="12.140625" style="285" customWidth="1"/>
    <col min="6" max="6" width="12.42578125" style="285" customWidth="1"/>
    <col min="7" max="7" width="16.85546875" style="285" hidden="1" customWidth="1"/>
    <col min="8" max="8" width="0" style="285" hidden="1" customWidth="1"/>
    <col min="9" max="16384" width="9.140625" style="285"/>
  </cols>
  <sheetData>
    <row r="1" spans="1:8" x14ac:dyDescent="0.25">
      <c r="A1" s="606" t="s">
        <v>180</v>
      </c>
      <c r="B1" s="606"/>
      <c r="C1" s="284"/>
      <c r="D1" s="284"/>
      <c r="E1" s="609" t="s">
        <v>60</v>
      </c>
      <c r="F1" s="609"/>
    </row>
    <row r="2" spans="1:8" x14ac:dyDescent="0.25">
      <c r="A2" s="614" t="s">
        <v>179</v>
      </c>
      <c r="B2" s="614"/>
      <c r="C2" s="614"/>
      <c r="D2" s="614"/>
      <c r="E2" s="614"/>
      <c r="F2" s="614"/>
    </row>
    <row r="3" spans="1:8" x14ac:dyDescent="0.25">
      <c r="A3" s="614" t="s">
        <v>412</v>
      </c>
      <c r="B3" s="614"/>
      <c r="C3" s="614"/>
      <c r="D3" s="614"/>
      <c r="E3" s="614"/>
      <c r="F3" s="614"/>
    </row>
    <row r="4" spans="1:8" ht="20.25" customHeight="1" x14ac:dyDescent="0.25">
      <c r="A4" s="286"/>
      <c r="C4" s="287"/>
      <c r="D4" s="288"/>
      <c r="E4" s="610" t="s">
        <v>42</v>
      </c>
      <c r="F4" s="610"/>
      <c r="G4" s="289"/>
    </row>
    <row r="5" spans="1:8" x14ac:dyDescent="0.25">
      <c r="A5" s="607" t="s">
        <v>13</v>
      </c>
      <c r="B5" s="607" t="s">
        <v>14</v>
      </c>
      <c r="C5" s="611" t="s">
        <v>414</v>
      </c>
      <c r="D5" s="612"/>
      <c r="E5" s="612"/>
      <c r="F5" s="613"/>
    </row>
    <row r="6" spans="1:8" x14ac:dyDescent="0.25">
      <c r="A6" s="608"/>
      <c r="B6" s="608"/>
      <c r="C6" s="602" t="s">
        <v>403</v>
      </c>
      <c r="D6" s="604" t="s">
        <v>181</v>
      </c>
      <c r="E6" s="605" t="s">
        <v>46</v>
      </c>
      <c r="F6" s="605"/>
      <c r="G6" s="290"/>
    </row>
    <row r="7" spans="1:8" ht="40.5" customHeight="1" x14ac:dyDescent="0.25">
      <c r="A7" s="607"/>
      <c r="B7" s="607"/>
      <c r="C7" s="603"/>
      <c r="D7" s="603"/>
      <c r="E7" s="291" t="s">
        <v>251</v>
      </c>
      <c r="F7" s="291" t="s">
        <v>252</v>
      </c>
      <c r="G7" s="290"/>
    </row>
    <row r="8" spans="1:8" x14ac:dyDescent="0.25">
      <c r="A8" s="292" t="s">
        <v>17</v>
      </c>
      <c r="B8" s="292" t="s">
        <v>18</v>
      </c>
      <c r="C8" s="293">
        <v>1</v>
      </c>
      <c r="D8" s="292" t="s">
        <v>406</v>
      </c>
      <c r="E8" s="294">
        <v>3</v>
      </c>
      <c r="F8" s="294">
        <v>4</v>
      </c>
      <c r="G8" s="290"/>
    </row>
    <row r="9" spans="1:8" s="298" customFormat="1" ht="32.25" customHeight="1" x14ac:dyDescent="0.2">
      <c r="A9" s="295"/>
      <c r="B9" s="296" t="s">
        <v>250</v>
      </c>
      <c r="C9" s="297">
        <f t="shared" ref="C9:E9" si="0">C10+C36</f>
        <v>361225</v>
      </c>
      <c r="D9" s="297">
        <f t="shared" si="0"/>
        <v>447546.74979999999</v>
      </c>
      <c r="E9" s="297">
        <f t="shared" si="0"/>
        <v>378521.97</v>
      </c>
      <c r="F9" s="297">
        <f>F10+F36</f>
        <v>69024.779799999989</v>
      </c>
    </row>
    <row r="10" spans="1:8" s="298" customFormat="1" ht="32.25" customHeight="1" x14ac:dyDescent="0.2">
      <c r="A10" s="299" t="s">
        <v>17</v>
      </c>
      <c r="B10" s="300" t="s">
        <v>182</v>
      </c>
      <c r="C10" s="301">
        <f>C12+C26+C32+C33+C34+C35</f>
        <v>353127</v>
      </c>
      <c r="D10" s="301">
        <f>D12+D26+D32+D33+D34+D35</f>
        <v>439448.74979999999</v>
      </c>
      <c r="E10" s="301">
        <f>E12+E26+E32+E33+E34+E35</f>
        <v>370474.97</v>
      </c>
      <c r="F10" s="301">
        <f>F12+F26+F32+F33+F34+F35</f>
        <v>68973.779799999989</v>
      </c>
      <c r="G10" s="302"/>
    </row>
    <row r="11" spans="1:8" ht="47.25" customHeight="1" x14ac:dyDescent="0.25">
      <c r="A11" s="303"/>
      <c r="B11" s="304" t="s">
        <v>183</v>
      </c>
      <c r="C11" s="305"/>
      <c r="D11" s="305"/>
      <c r="E11" s="305"/>
      <c r="F11" s="305"/>
    </row>
    <row r="12" spans="1:8" s="298" customFormat="1" ht="32.25" customHeight="1" x14ac:dyDescent="0.2">
      <c r="A12" s="299" t="s">
        <v>19</v>
      </c>
      <c r="B12" s="300" t="s">
        <v>102</v>
      </c>
      <c r="C12" s="301">
        <f t="shared" ref="C12:F12" si="1">C13</f>
        <v>18392</v>
      </c>
      <c r="D12" s="301">
        <f t="shared" si="1"/>
        <v>97064</v>
      </c>
      <c r="E12" s="301">
        <f t="shared" si="1"/>
        <v>88424</v>
      </c>
      <c r="F12" s="301">
        <f t="shared" si="1"/>
        <v>8640</v>
      </c>
    </row>
    <row r="13" spans="1:8" s="298" customFormat="1" ht="32.25" customHeight="1" x14ac:dyDescent="0.2">
      <c r="A13" s="299">
        <v>1</v>
      </c>
      <c r="B13" s="300" t="s">
        <v>187</v>
      </c>
      <c r="C13" s="301">
        <f t="shared" ref="C13" si="2">SUM(C14:C17)</f>
        <v>18392</v>
      </c>
      <c r="D13" s="301">
        <f>SUM(D14:D17)</f>
        <v>97064</v>
      </c>
      <c r="E13" s="301">
        <f t="shared" ref="E13:F13" si="3">SUM(E14:E17)</f>
        <v>88424</v>
      </c>
      <c r="F13" s="301">
        <f t="shared" si="3"/>
        <v>8640</v>
      </c>
      <c r="G13" s="302">
        <f>E13-E19-E22-E23</f>
        <v>75930</v>
      </c>
    </row>
    <row r="14" spans="1:8" ht="25.5" customHeight="1" x14ac:dyDescent="0.25">
      <c r="A14" s="303" t="s">
        <v>159</v>
      </c>
      <c r="B14" s="306" t="s">
        <v>188</v>
      </c>
      <c r="C14" s="307">
        <f>7832</f>
        <v>7832</v>
      </c>
      <c r="D14" s="307">
        <f>SUM(E14:F14)</f>
        <v>7832</v>
      </c>
      <c r="E14" s="307">
        <f>7832</f>
        <v>7832</v>
      </c>
      <c r="F14" s="305"/>
      <c r="G14" s="308"/>
      <c r="H14" s="308">
        <f>89232-F15</f>
        <v>80592</v>
      </c>
    </row>
    <row r="15" spans="1:8" ht="25.5" customHeight="1" x14ac:dyDescent="0.25">
      <c r="A15" s="303" t="s">
        <v>160</v>
      </c>
      <c r="B15" s="306" t="s">
        <v>140</v>
      </c>
      <c r="C15" s="307">
        <v>10560</v>
      </c>
      <c r="D15" s="307">
        <f>SUM(E15:F15)</f>
        <v>89232</v>
      </c>
      <c r="E15" s="307">
        <v>80592</v>
      </c>
      <c r="F15" s="307">
        <v>8640</v>
      </c>
      <c r="G15" s="308"/>
    </row>
    <row r="16" spans="1:8" ht="32.25" hidden="1" customHeight="1" x14ac:dyDescent="0.25">
      <c r="A16" s="303" t="s">
        <v>189</v>
      </c>
      <c r="B16" s="306" t="s">
        <v>190</v>
      </c>
      <c r="C16" s="307"/>
      <c r="D16" s="307"/>
      <c r="E16" s="307"/>
      <c r="F16" s="305"/>
    </row>
    <row r="17" spans="1:7" ht="32.25" hidden="1" customHeight="1" x14ac:dyDescent="0.25">
      <c r="A17" s="303" t="s">
        <v>191</v>
      </c>
      <c r="B17" s="306" t="s">
        <v>192</v>
      </c>
      <c r="C17" s="307"/>
      <c r="D17" s="307"/>
      <c r="E17" s="307"/>
      <c r="F17" s="305"/>
    </row>
    <row r="18" spans="1:7" s="298" customFormat="1" ht="32.25" customHeight="1" x14ac:dyDescent="0.2">
      <c r="A18" s="299" t="s">
        <v>184</v>
      </c>
      <c r="B18" s="300" t="s">
        <v>193</v>
      </c>
      <c r="C18" s="301">
        <f t="shared" ref="C18:F18" si="4">SUM(C19:C23)</f>
        <v>0</v>
      </c>
      <c r="D18" s="301">
        <f>SUM(D19:D23)</f>
        <v>97064</v>
      </c>
      <c r="E18" s="301">
        <f t="shared" si="4"/>
        <v>88424</v>
      </c>
      <c r="F18" s="301">
        <f t="shared" si="4"/>
        <v>8640</v>
      </c>
      <c r="G18" s="302"/>
    </row>
    <row r="19" spans="1:7" ht="28.5" customHeight="1" x14ac:dyDescent="0.25">
      <c r="A19" s="309" t="s">
        <v>159</v>
      </c>
      <c r="B19" s="304" t="s">
        <v>63</v>
      </c>
      <c r="C19" s="310"/>
      <c r="D19" s="310">
        <f>SUM(E19:F19)</f>
        <v>2602</v>
      </c>
      <c r="E19" s="307">
        <v>2602</v>
      </c>
      <c r="F19" s="305"/>
      <c r="G19" s="308">
        <f>E13-E19-E22-E23</f>
        <v>75930</v>
      </c>
    </row>
    <row r="20" spans="1:7" ht="28.5" customHeight="1" x14ac:dyDescent="0.25">
      <c r="A20" s="309" t="s">
        <v>160</v>
      </c>
      <c r="B20" s="304" t="s">
        <v>194</v>
      </c>
      <c r="C20" s="310"/>
      <c r="D20" s="310">
        <f>SUM(E20:F20)</f>
        <v>5700</v>
      </c>
      <c r="E20" s="307">
        <v>5700</v>
      </c>
      <c r="F20" s="305"/>
      <c r="G20" s="311"/>
    </row>
    <row r="21" spans="1:7" ht="22.5" customHeight="1" x14ac:dyDescent="0.25">
      <c r="A21" s="309" t="s">
        <v>189</v>
      </c>
      <c r="B21" s="304" t="s">
        <v>196</v>
      </c>
      <c r="C21" s="310"/>
      <c r="D21" s="310">
        <f>SUM(E21:F21)</f>
        <v>78870</v>
      </c>
      <c r="E21" s="307">
        <v>70230</v>
      </c>
      <c r="F21" s="307">
        <f>F15</f>
        <v>8640</v>
      </c>
      <c r="G21" s="308"/>
    </row>
    <row r="22" spans="1:7" ht="36.75" customHeight="1" x14ac:dyDescent="0.25">
      <c r="A22" s="309" t="s">
        <v>191</v>
      </c>
      <c r="B22" s="306" t="s">
        <v>85</v>
      </c>
      <c r="C22" s="310"/>
      <c r="D22" s="310">
        <f>SUM(E22:F22)</f>
        <v>6200</v>
      </c>
      <c r="E22" s="307">
        <v>6200</v>
      </c>
      <c r="F22" s="307"/>
      <c r="G22" s="308"/>
    </row>
    <row r="23" spans="1:7" ht="21.75" customHeight="1" x14ac:dyDescent="0.25">
      <c r="A23" s="309" t="s">
        <v>249</v>
      </c>
      <c r="B23" s="304" t="s">
        <v>197</v>
      </c>
      <c r="C23" s="310"/>
      <c r="D23" s="310">
        <f t="shared" ref="D23" si="5">SUM(E23:F23)</f>
        <v>3692</v>
      </c>
      <c r="E23" s="307">
        <v>3692</v>
      </c>
      <c r="F23" s="305"/>
      <c r="G23" s="311"/>
    </row>
    <row r="24" spans="1:7" s="298" customFormat="1" ht="69.75" customHeight="1" x14ac:dyDescent="0.2">
      <c r="A24" s="299">
        <v>2</v>
      </c>
      <c r="B24" s="300" t="s">
        <v>65</v>
      </c>
      <c r="C24" s="301">
        <v>0</v>
      </c>
      <c r="D24" s="301">
        <v>0</v>
      </c>
      <c r="E24" s="301">
        <v>0</v>
      </c>
      <c r="F24" s="312">
        <v>0</v>
      </c>
      <c r="G24" s="313"/>
    </row>
    <row r="25" spans="1:7" s="298" customFormat="1" ht="32.25" hidden="1" customHeight="1" x14ac:dyDescent="0.2">
      <c r="A25" s="299">
        <v>3</v>
      </c>
      <c r="B25" s="300" t="s">
        <v>253</v>
      </c>
      <c r="C25" s="312"/>
      <c r="D25" s="312"/>
      <c r="E25" s="312"/>
      <c r="F25" s="312"/>
    </row>
    <row r="26" spans="1:7" s="298" customFormat="1" ht="32.25" customHeight="1" x14ac:dyDescent="0.2">
      <c r="A26" s="299" t="s">
        <v>29</v>
      </c>
      <c r="B26" s="300" t="s">
        <v>89</v>
      </c>
      <c r="C26" s="301">
        <v>327672</v>
      </c>
      <c r="D26" s="301">
        <f>SUM(E26:F26)</f>
        <v>329966.74979999999</v>
      </c>
      <c r="E26" s="301">
        <f>271466.97-620</f>
        <v>270846.96999999997</v>
      </c>
      <c r="F26" s="301">
        <v>59119.779799999997</v>
      </c>
      <c r="G26" s="314"/>
    </row>
    <row r="27" spans="1:7" s="298" customFormat="1" ht="14.25" x14ac:dyDescent="0.2">
      <c r="A27" s="299"/>
      <c r="B27" s="300" t="s">
        <v>67</v>
      </c>
      <c r="C27" s="301"/>
      <c r="D27" s="301"/>
      <c r="E27" s="301"/>
      <c r="F27" s="301"/>
      <c r="G27" s="315"/>
    </row>
    <row r="28" spans="1:7" ht="21.75" customHeight="1" x14ac:dyDescent="0.25">
      <c r="A28" s="309">
        <v>1</v>
      </c>
      <c r="B28" s="304" t="s">
        <v>63</v>
      </c>
      <c r="C28" s="307">
        <v>199650</v>
      </c>
      <c r="D28" s="307">
        <f>SUM(E28:F28)</f>
        <v>196950</v>
      </c>
      <c r="E28" s="307">
        <v>196470</v>
      </c>
      <c r="F28" s="305">
        <v>480</v>
      </c>
    </row>
    <row r="29" spans="1:7" ht="21.75" customHeight="1" x14ac:dyDescent="0.25">
      <c r="A29" s="309">
        <v>2</v>
      </c>
      <c r="B29" s="304" t="s">
        <v>64</v>
      </c>
      <c r="C29" s="307">
        <v>150</v>
      </c>
      <c r="D29" s="307">
        <f>SUM(E29:F29)</f>
        <v>150</v>
      </c>
      <c r="E29" s="307">
        <v>150</v>
      </c>
      <c r="F29" s="305">
        <v>0</v>
      </c>
    </row>
    <row r="30" spans="1:7" ht="21.75" customHeight="1" x14ac:dyDescent="0.25">
      <c r="A30" s="309">
        <v>3</v>
      </c>
      <c r="B30" s="304" t="s">
        <v>198</v>
      </c>
      <c r="C30" s="305">
        <v>6399</v>
      </c>
      <c r="D30" s="307">
        <f>SUM(E30:F30)</f>
        <v>6399</v>
      </c>
      <c r="E30" s="305">
        <v>5429</v>
      </c>
      <c r="F30" s="305">
        <v>970</v>
      </c>
    </row>
    <row r="31" spans="1:7" ht="21.75" customHeight="1" x14ac:dyDescent="0.25">
      <c r="A31" s="309">
        <v>4</v>
      </c>
      <c r="B31" s="304" t="s">
        <v>199</v>
      </c>
      <c r="C31" s="307">
        <f>108437</f>
        <v>108437</v>
      </c>
      <c r="D31" s="307">
        <v>125959.38</v>
      </c>
      <c r="E31" s="307">
        <v>69417.97</v>
      </c>
      <c r="F31" s="307">
        <v>57669.779799999997</v>
      </c>
      <c r="G31" s="316"/>
    </row>
    <row r="32" spans="1:7" s="298" customFormat="1" ht="24.75" customHeight="1" x14ac:dyDescent="0.25">
      <c r="A32" s="299" t="s">
        <v>35</v>
      </c>
      <c r="B32" s="300" t="s">
        <v>200</v>
      </c>
      <c r="C32" s="312"/>
      <c r="D32" s="305">
        <f t="shared" ref="D32:D33" si="6">SUM(E32:F32)</f>
        <v>0</v>
      </c>
      <c r="E32" s="312"/>
      <c r="F32" s="312"/>
      <c r="G32" s="317"/>
    </row>
    <row r="33" spans="1:7" s="298" customFormat="1" ht="24.75" customHeight="1" x14ac:dyDescent="0.25">
      <c r="A33" s="299" t="s">
        <v>68</v>
      </c>
      <c r="B33" s="300" t="s">
        <v>133</v>
      </c>
      <c r="C33" s="312"/>
      <c r="D33" s="305">
        <f t="shared" si="6"/>
        <v>0</v>
      </c>
      <c r="E33" s="312"/>
      <c r="F33" s="312"/>
    </row>
    <row r="34" spans="1:7" s="298" customFormat="1" ht="24.75" customHeight="1" x14ac:dyDescent="0.2">
      <c r="A34" s="299" t="s">
        <v>68</v>
      </c>
      <c r="B34" s="300" t="s">
        <v>71</v>
      </c>
      <c r="C34" s="301">
        <v>7063</v>
      </c>
      <c r="D34" s="301">
        <f>SUM(E34:F34)</f>
        <v>7063</v>
      </c>
      <c r="E34" s="301">
        <v>5849</v>
      </c>
      <c r="F34" s="301">
        <v>1214</v>
      </c>
    </row>
    <row r="35" spans="1:7" s="298" customFormat="1" ht="24.75" customHeight="1" x14ac:dyDescent="0.2">
      <c r="A35" s="299" t="s">
        <v>70</v>
      </c>
      <c r="B35" s="300" t="s">
        <v>201</v>
      </c>
      <c r="C35" s="318"/>
      <c r="D35" s="301">
        <f>SUM(E35:F35)</f>
        <v>5355</v>
      </c>
      <c r="E35" s="312">
        <v>5355</v>
      </c>
      <c r="F35" s="312"/>
      <c r="G35" s="319"/>
    </row>
    <row r="36" spans="1:7" s="298" customFormat="1" ht="25.5" customHeight="1" x14ac:dyDescent="0.2">
      <c r="A36" s="299" t="s">
        <v>18</v>
      </c>
      <c r="B36" s="300" t="s">
        <v>202</v>
      </c>
      <c r="C36" s="301">
        <f>C37+C50</f>
        <v>8098</v>
      </c>
      <c r="D36" s="301">
        <f t="shared" ref="D36:F36" si="7">D37+D50</f>
        <v>8098</v>
      </c>
      <c r="E36" s="301">
        <f t="shared" si="7"/>
        <v>8047</v>
      </c>
      <c r="F36" s="301">
        <f t="shared" si="7"/>
        <v>51</v>
      </c>
    </row>
    <row r="37" spans="1:7" s="298" customFormat="1" ht="32.25" customHeight="1" x14ac:dyDescent="0.2">
      <c r="A37" s="299" t="s">
        <v>19</v>
      </c>
      <c r="B37" s="300" t="s">
        <v>208</v>
      </c>
      <c r="C37" s="301">
        <f t="shared" ref="C37:F37" si="8">C38+C40</f>
        <v>8098</v>
      </c>
      <c r="D37" s="301">
        <f t="shared" si="8"/>
        <v>8098</v>
      </c>
      <c r="E37" s="301">
        <f t="shared" si="8"/>
        <v>8047</v>
      </c>
      <c r="F37" s="301">
        <f t="shared" si="8"/>
        <v>51</v>
      </c>
    </row>
    <row r="38" spans="1:7" s="298" customFormat="1" ht="32.25" customHeight="1" x14ac:dyDescent="0.2">
      <c r="A38" s="299">
        <v>1</v>
      </c>
      <c r="B38" s="300" t="s">
        <v>210</v>
      </c>
      <c r="C38" s="301">
        <f>SUM(C39)</f>
        <v>120</v>
      </c>
      <c r="D38" s="301">
        <f t="shared" ref="D38:F38" si="9">SUM(D39)</f>
        <v>120</v>
      </c>
      <c r="E38" s="301">
        <f t="shared" si="9"/>
        <v>120</v>
      </c>
      <c r="F38" s="301">
        <f t="shared" si="9"/>
        <v>0</v>
      </c>
    </row>
    <row r="39" spans="1:7" s="298" customFormat="1" ht="32.25" customHeight="1" x14ac:dyDescent="0.25">
      <c r="A39" s="299" t="s">
        <v>434</v>
      </c>
      <c r="B39" s="108" t="s">
        <v>212</v>
      </c>
      <c r="C39" s="301">
        <v>120</v>
      </c>
      <c r="D39" s="307">
        <f>SUM(E39:F39)</f>
        <v>120</v>
      </c>
      <c r="E39" s="301">
        <v>120</v>
      </c>
      <c r="F39" s="301"/>
    </row>
    <row r="40" spans="1:7" s="298" customFormat="1" ht="32.25" customHeight="1" x14ac:dyDescent="0.2">
      <c r="A40" s="299">
        <v>2</v>
      </c>
      <c r="B40" s="300" t="s">
        <v>214</v>
      </c>
      <c r="C40" s="301">
        <f t="shared" ref="C40:F40" si="10">C41+C47</f>
        <v>7978</v>
      </c>
      <c r="D40" s="301">
        <f t="shared" si="10"/>
        <v>7978</v>
      </c>
      <c r="E40" s="301">
        <f t="shared" si="10"/>
        <v>7927</v>
      </c>
      <c r="F40" s="301">
        <f t="shared" si="10"/>
        <v>51</v>
      </c>
    </row>
    <row r="41" spans="1:7" ht="19.5" customHeight="1" x14ac:dyDescent="0.25">
      <c r="A41" s="303" t="s">
        <v>159</v>
      </c>
      <c r="B41" s="306" t="s">
        <v>211</v>
      </c>
      <c r="C41" s="310">
        <f t="shared" ref="C41:F41" si="11">SUM(C42:C46)</f>
        <v>7427</v>
      </c>
      <c r="D41" s="310">
        <f t="shared" si="11"/>
        <v>7427</v>
      </c>
      <c r="E41" s="307">
        <f t="shared" si="11"/>
        <v>7427</v>
      </c>
      <c r="F41" s="307">
        <f t="shared" si="11"/>
        <v>0</v>
      </c>
    </row>
    <row r="42" spans="1:7" ht="40.5" customHeight="1" x14ac:dyDescent="0.25">
      <c r="A42" s="320" t="s">
        <v>23</v>
      </c>
      <c r="B42" s="321" t="s">
        <v>407</v>
      </c>
      <c r="C42" s="307">
        <v>770</v>
      </c>
      <c r="D42" s="307">
        <f>SUM(E42:F42)</f>
        <v>770</v>
      </c>
      <c r="E42" s="307">
        <v>770</v>
      </c>
      <c r="F42" s="305"/>
    </row>
    <row r="43" spans="1:7" ht="21.75" customHeight="1" x14ac:dyDescent="0.25">
      <c r="A43" s="320" t="s">
        <v>23</v>
      </c>
      <c r="B43" s="322" t="s">
        <v>215</v>
      </c>
      <c r="C43" s="307"/>
      <c r="D43" s="307">
        <f t="shared" ref="D43:D44" si="12">SUM(E43:F43)</f>
        <v>0</v>
      </c>
      <c r="E43" s="307"/>
      <c r="F43" s="305"/>
    </row>
    <row r="44" spans="1:7" ht="21.75" customHeight="1" x14ac:dyDescent="0.25">
      <c r="A44" s="320" t="s">
        <v>23</v>
      </c>
      <c r="B44" s="322" t="s">
        <v>428</v>
      </c>
      <c r="C44" s="307">
        <v>2500</v>
      </c>
      <c r="D44" s="307">
        <f t="shared" si="12"/>
        <v>2500</v>
      </c>
      <c r="E44" s="307">
        <v>2500</v>
      </c>
      <c r="F44" s="305"/>
    </row>
    <row r="45" spans="1:7" ht="22.5" customHeight="1" x14ac:dyDescent="0.25">
      <c r="A45" s="320" t="s">
        <v>23</v>
      </c>
      <c r="B45" s="322" t="s">
        <v>404</v>
      </c>
      <c r="C45" s="307">
        <v>2330</v>
      </c>
      <c r="D45" s="307">
        <f t="shared" ref="D45:D46" si="13">SUM(E45:F45)</f>
        <v>2330</v>
      </c>
      <c r="E45" s="307">
        <v>2330</v>
      </c>
      <c r="F45" s="305"/>
    </row>
    <row r="46" spans="1:7" ht="22.5" customHeight="1" x14ac:dyDescent="0.25">
      <c r="A46" s="320" t="s">
        <v>23</v>
      </c>
      <c r="B46" s="322" t="s">
        <v>216</v>
      </c>
      <c r="C46" s="307">
        <v>1827</v>
      </c>
      <c r="D46" s="307">
        <f t="shared" si="13"/>
        <v>1827</v>
      </c>
      <c r="E46" s="307">
        <v>1827</v>
      </c>
      <c r="F46" s="305"/>
    </row>
    <row r="47" spans="1:7" ht="24" customHeight="1" x14ac:dyDescent="0.25">
      <c r="A47" s="303" t="s">
        <v>160</v>
      </c>
      <c r="B47" s="306" t="s">
        <v>207</v>
      </c>
      <c r="C47" s="310">
        <f>SUM(C48:C49)</f>
        <v>551</v>
      </c>
      <c r="D47" s="310">
        <f t="shared" ref="D47:F47" si="14">SUM(D48:D49)</f>
        <v>551</v>
      </c>
      <c r="E47" s="307">
        <f t="shared" si="14"/>
        <v>500</v>
      </c>
      <c r="F47" s="307">
        <f t="shared" si="14"/>
        <v>51</v>
      </c>
    </row>
    <row r="48" spans="1:7" ht="22.5" customHeight="1" x14ac:dyDescent="0.25">
      <c r="A48" s="320" t="s">
        <v>23</v>
      </c>
      <c r="B48" s="281" t="s">
        <v>405</v>
      </c>
      <c r="C48" s="307">
        <v>500</v>
      </c>
      <c r="D48" s="307">
        <f>SUM(E48:F48)</f>
        <v>500</v>
      </c>
      <c r="E48" s="307">
        <v>500</v>
      </c>
      <c r="F48" s="305"/>
    </row>
    <row r="49" spans="1:6" ht="22.5" customHeight="1" x14ac:dyDescent="0.25">
      <c r="A49" s="320" t="s">
        <v>23</v>
      </c>
      <c r="B49" s="281" t="s">
        <v>429</v>
      </c>
      <c r="C49" s="307">
        <v>51</v>
      </c>
      <c r="D49" s="307">
        <f>SUM(E49:F49)</f>
        <v>51</v>
      </c>
      <c r="E49" s="307"/>
      <c r="F49" s="305">
        <v>51</v>
      </c>
    </row>
    <row r="50" spans="1:6" s="298" customFormat="1" ht="32.25" customHeight="1" x14ac:dyDescent="0.2">
      <c r="A50" s="323">
        <v>3</v>
      </c>
      <c r="B50" s="324" t="s">
        <v>221</v>
      </c>
      <c r="C50" s="325">
        <f>SUM(C51)</f>
        <v>0</v>
      </c>
      <c r="D50" s="325">
        <f t="shared" ref="D50:F50" si="15">SUM(D51)</f>
        <v>0</v>
      </c>
      <c r="E50" s="325">
        <f t="shared" si="15"/>
        <v>0</v>
      </c>
      <c r="F50" s="325">
        <f t="shared" si="15"/>
        <v>0</v>
      </c>
    </row>
    <row r="51" spans="1:6" ht="32.25" hidden="1" customHeight="1" x14ac:dyDescent="0.25">
      <c r="A51" s="292"/>
      <c r="B51" s="326"/>
      <c r="C51" s="327"/>
      <c r="D51" s="328"/>
      <c r="E51" s="329"/>
      <c r="F51" s="330"/>
    </row>
    <row r="52" spans="1:6" x14ac:dyDescent="0.25">
      <c r="A52" s="331"/>
      <c r="D52" s="332"/>
      <c r="E52" s="332"/>
      <c r="F52" s="332"/>
    </row>
    <row r="53" spans="1:6" x14ac:dyDescent="0.25">
      <c r="A53" s="331"/>
      <c r="D53" s="332"/>
      <c r="E53" s="332"/>
      <c r="F53" s="332"/>
    </row>
    <row r="54" spans="1:6" x14ac:dyDescent="0.25">
      <c r="A54" s="331"/>
      <c r="D54" s="332"/>
      <c r="E54" s="332"/>
      <c r="F54" s="332"/>
    </row>
    <row r="55" spans="1:6" x14ac:dyDescent="0.25">
      <c r="A55" s="331"/>
      <c r="D55" s="332"/>
      <c r="E55" s="332"/>
      <c r="F55" s="332"/>
    </row>
    <row r="56" spans="1:6" x14ac:dyDescent="0.25">
      <c r="A56" s="331"/>
      <c r="D56" s="332"/>
      <c r="E56" s="332"/>
      <c r="F56" s="332"/>
    </row>
    <row r="57" spans="1:6" x14ac:dyDescent="0.25">
      <c r="A57" s="331"/>
      <c r="D57" s="332"/>
      <c r="E57" s="332"/>
      <c r="F57" s="332"/>
    </row>
    <row r="58" spans="1:6" x14ac:dyDescent="0.25">
      <c r="A58" s="331"/>
      <c r="D58" s="332"/>
      <c r="E58" s="332"/>
      <c r="F58" s="332"/>
    </row>
    <row r="59" spans="1:6" x14ac:dyDescent="0.25">
      <c r="A59" s="331"/>
      <c r="D59" s="332"/>
      <c r="E59" s="332"/>
      <c r="F59" s="332"/>
    </row>
    <row r="60" spans="1:6" x14ac:dyDescent="0.25">
      <c r="A60" s="331"/>
      <c r="D60" s="332"/>
      <c r="E60" s="332"/>
      <c r="F60" s="332"/>
    </row>
    <row r="61" spans="1:6" x14ac:dyDescent="0.25">
      <c r="A61" s="331"/>
      <c r="D61" s="332"/>
      <c r="E61" s="332"/>
      <c r="F61" s="332"/>
    </row>
    <row r="62" spans="1:6" x14ac:dyDescent="0.25">
      <c r="A62" s="331"/>
      <c r="D62" s="332"/>
      <c r="E62" s="332"/>
      <c r="F62" s="332"/>
    </row>
    <row r="63" spans="1:6" x14ac:dyDescent="0.25">
      <c r="A63" s="331"/>
      <c r="D63" s="332"/>
      <c r="E63" s="332"/>
      <c r="F63" s="332"/>
    </row>
    <row r="64" spans="1:6" x14ac:dyDescent="0.25">
      <c r="A64" s="331"/>
      <c r="D64" s="332"/>
      <c r="E64" s="332"/>
      <c r="F64" s="332"/>
    </row>
    <row r="65" spans="1:6" x14ac:dyDescent="0.25">
      <c r="A65" s="331"/>
      <c r="D65" s="332"/>
      <c r="E65" s="332"/>
      <c r="F65" s="332"/>
    </row>
    <row r="66" spans="1:6" ht="18.75" customHeight="1" x14ac:dyDescent="0.25">
      <c r="D66" s="332"/>
      <c r="E66" s="332"/>
      <c r="F66" s="332"/>
    </row>
    <row r="67" spans="1:6" ht="18.75" customHeight="1" x14ac:dyDescent="0.25">
      <c r="D67" s="332"/>
      <c r="E67" s="332"/>
      <c r="F67" s="332"/>
    </row>
    <row r="68" spans="1:6" ht="18.75" customHeight="1" x14ac:dyDescent="0.25">
      <c r="D68" s="332"/>
      <c r="E68" s="332"/>
      <c r="F68" s="332"/>
    </row>
    <row r="69" spans="1:6" ht="18.75" customHeight="1" x14ac:dyDescent="0.25">
      <c r="D69" s="332"/>
      <c r="E69" s="332"/>
      <c r="F69" s="332"/>
    </row>
    <row r="70" spans="1:6" x14ac:dyDescent="0.25">
      <c r="A70" s="333"/>
      <c r="D70" s="332"/>
      <c r="E70" s="332"/>
      <c r="F70" s="332"/>
    </row>
    <row r="71" spans="1:6" x14ac:dyDescent="0.25">
      <c r="D71" s="332"/>
      <c r="E71" s="332"/>
      <c r="F71" s="332"/>
    </row>
    <row r="72" spans="1:6" x14ac:dyDescent="0.25">
      <c r="D72" s="332"/>
      <c r="E72" s="332"/>
      <c r="F72" s="332"/>
    </row>
    <row r="73" spans="1:6" x14ac:dyDescent="0.25">
      <c r="D73" s="332"/>
      <c r="E73" s="332"/>
      <c r="F73" s="332"/>
    </row>
    <row r="74" spans="1:6" x14ac:dyDescent="0.25">
      <c r="D74" s="332"/>
      <c r="E74" s="332"/>
      <c r="F74" s="332"/>
    </row>
    <row r="75" spans="1:6" x14ac:dyDescent="0.25">
      <c r="D75" s="332"/>
      <c r="E75" s="332"/>
      <c r="F75" s="332"/>
    </row>
    <row r="76" spans="1:6" x14ac:dyDescent="0.25">
      <c r="D76" s="332"/>
      <c r="E76" s="332"/>
      <c r="F76" s="332"/>
    </row>
    <row r="77" spans="1:6" x14ac:dyDescent="0.25">
      <c r="D77" s="332"/>
      <c r="E77" s="332"/>
      <c r="F77" s="332"/>
    </row>
    <row r="78" spans="1:6" x14ac:dyDescent="0.25">
      <c r="D78" s="332"/>
      <c r="E78" s="332"/>
      <c r="F78" s="332"/>
    </row>
    <row r="79" spans="1:6" x14ac:dyDescent="0.25">
      <c r="D79" s="332"/>
      <c r="E79" s="332"/>
      <c r="F79" s="332"/>
    </row>
    <row r="80" spans="1:6" x14ac:dyDescent="0.25">
      <c r="D80" s="332"/>
      <c r="E80" s="332"/>
      <c r="F80" s="332"/>
    </row>
    <row r="81" spans="4:6" x14ac:dyDescent="0.25">
      <c r="D81" s="332"/>
      <c r="E81" s="332"/>
      <c r="F81" s="332"/>
    </row>
    <row r="82" spans="4:6" x14ac:dyDescent="0.25">
      <c r="D82" s="332"/>
      <c r="E82" s="332"/>
      <c r="F82" s="332"/>
    </row>
    <row r="83" spans="4:6" x14ac:dyDescent="0.25">
      <c r="D83" s="332"/>
      <c r="E83" s="332"/>
      <c r="F83" s="332"/>
    </row>
    <row r="84" spans="4:6" x14ac:dyDescent="0.25">
      <c r="D84" s="332"/>
      <c r="E84" s="332"/>
      <c r="F84" s="332"/>
    </row>
    <row r="85" spans="4:6" x14ac:dyDescent="0.25">
      <c r="D85" s="332"/>
      <c r="E85" s="332"/>
      <c r="F85" s="332"/>
    </row>
    <row r="86" spans="4:6" x14ac:dyDescent="0.25">
      <c r="D86" s="332"/>
      <c r="E86" s="332"/>
      <c r="F86" s="332"/>
    </row>
    <row r="87" spans="4:6" x14ac:dyDescent="0.25">
      <c r="D87" s="332"/>
      <c r="E87" s="332"/>
      <c r="F87" s="332"/>
    </row>
    <row r="88" spans="4:6" x14ac:dyDescent="0.25">
      <c r="D88" s="332"/>
      <c r="E88" s="332"/>
      <c r="F88" s="332"/>
    </row>
    <row r="89" spans="4:6" x14ac:dyDescent="0.25">
      <c r="D89" s="332"/>
      <c r="E89" s="332"/>
      <c r="F89" s="332"/>
    </row>
    <row r="90" spans="4:6" x14ac:dyDescent="0.25">
      <c r="D90" s="332"/>
      <c r="E90" s="332"/>
      <c r="F90" s="332"/>
    </row>
    <row r="91" spans="4:6" x14ac:dyDescent="0.25">
      <c r="D91" s="332"/>
      <c r="E91" s="332"/>
      <c r="F91" s="332"/>
    </row>
    <row r="92" spans="4:6" x14ac:dyDescent="0.25">
      <c r="D92" s="332"/>
      <c r="E92" s="332"/>
      <c r="F92" s="332"/>
    </row>
    <row r="105" spans="1:1" ht="18.75" customHeight="1" x14ac:dyDescent="0.25"/>
    <row r="106" spans="1:1" ht="18.75" customHeight="1" x14ac:dyDescent="0.25"/>
    <row r="107" spans="1:1" ht="18.75" customHeight="1" x14ac:dyDescent="0.25"/>
    <row r="108" spans="1:1" x14ac:dyDescent="0.25">
      <c r="A108" s="333"/>
    </row>
  </sheetData>
  <mergeCells count="11">
    <mergeCell ref="C6:C7"/>
    <mergeCell ref="D6:D7"/>
    <mergeCell ref="E6:F6"/>
    <mergeCell ref="A1:B1"/>
    <mergeCell ref="A5:A7"/>
    <mergeCell ref="B5:B7"/>
    <mergeCell ref="E1:F1"/>
    <mergeCell ref="E4:F4"/>
    <mergeCell ref="C5:F5"/>
    <mergeCell ref="A2:F2"/>
    <mergeCell ref="A3:F3"/>
  </mergeCells>
  <phoneticPr fontId="16" type="noConversion"/>
  <printOptions horizontalCentered="1"/>
  <pageMargins left="0.31496062992125984" right="0.23622047244094491" top="0.27559055118110237" bottom="0.27559055118110237" header="0.31496062992125984" footer="0.31496062992125984"/>
  <pageSetup paperSize="9" scale="85"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58"/>
  <sheetViews>
    <sheetView workbookViewId="0">
      <selection sqref="A1:D33"/>
    </sheetView>
  </sheetViews>
  <sheetFormatPr defaultRowHeight="15" x14ac:dyDescent="0.25"/>
  <cols>
    <col min="1" max="1" width="8.7109375" style="2" customWidth="1"/>
    <col min="2" max="2" width="60.85546875" style="2" customWidth="1"/>
    <col min="3" max="3" width="13.140625" style="2" customWidth="1"/>
    <col min="4" max="4" width="10.140625" style="2" customWidth="1"/>
    <col min="5" max="16384" width="9.140625" style="2"/>
  </cols>
  <sheetData>
    <row r="1" spans="1:5" x14ac:dyDescent="0.25">
      <c r="A1" s="574" t="s">
        <v>178</v>
      </c>
      <c r="B1" s="574"/>
      <c r="C1" s="616" t="s">
        <v>665</v>
      </c>
      <c r="D1" s="616"/>
    </row>
    <row r="2" spans="1:5" x14ac:dyDescent="0.25">
      <c r="A2" s="530" t="s">
        <v>413</v>
      </c>
      <c r="B2" s="530"/>
      <c r="C2" s="530"/>
      <c r="D2" s="530"/>
    </row>
    <row r="3" spans="1:5" x14ac:dyDescent="0.25">
      <c r="A3" s="63"/>
      <c r="C3" s="617" t="s">
        <v>42</v>
      </c>
      <c r="D3" s="617"/>
    </row>
    <row r="4" spans="1:5" ht="24" customHeight="1" x14ac:dyDescent="0.25">
      <c r="A4" s="334" t="s">
        <v>13</v>
      </c>
      <c r="B4" s="334" t="s">
        <v>14</v>
      </c>
      <c r="C4" s="334" t="s">
        <v>401</v>
      </c>
      <c r="D4" s="197" t="s">
        <v>402</v>
      </c>
    </row>
    <row r="5" spans="1:5" x14ac:dyDescent="0.25">
      <c r="A5" s="335" t="s">
        <v>17</v>
      </c>
      <c r="B5" s="335" t="s">
        <v>18</v>
      </c>
      <c r="C5" s="335">
        <v>1</v>
      </c>
      <c r="D5" s="336">
        <v>2</v>
      </c>
    </row>
    <row r="6" spans="1:5" s="1" customFormat="1" ht="18.75" customHeight="1" x14ac:dyDescent="0.25">
      <c r="A6" s="337"/>
      <c r="B6" s="338" t="s">
        <v>61</v>
      </c>
      <c r="C6" s="339">
        <f>C7+C8+C33</f>
        <v>437617.75282000005</v>
      </c>
      <c r="D6" s="339">
        <f>D7+D8+D33</f>
        <v>0</v>
      </c>
      <c r="E6" s="512"/>
    </row>
    <row r="7" spans="1:5" ht="18.75" customHeight="1" x14ac:dyDescent="0.25">
      <c r="A7" s="340" t="s">
        <v>17</v>
      </c>
      <c r="B7" s="341" t="s">
        <v>76</v>
      </c>
      <c r="C7" s="342">
        <v>59095.779799999997</v>
      </c>
      <c r="D7" s="342"/>
    </row>
    <row r="8" spans="1:5" ht="18.75" customHeight="1" x14ac:dyDescent="0.25">
      <c r="A8" s="340" t="s">
        <v>18</v>
      </c>
      <c r="B8" s="341" t="s">
        <v>254</v>
      </c>
      <c r="C8" s="342">
        <f>C9+C17+C31+C32</f>
        <v>378521.97302000003</v>
      </c>
      <c r="D8" s="342">
        <f t="shared" ref="D8" si="0">D9+D17+D31+D32</f>
        <v>0</v>
      </c>
      <c r="E8" s="15"/>
    </row>
    <row r="9" spans="1:5" ht="18.75" customHeight="1" x14ac:dyDescent="0.25">
      <c r="A9" s="340" t="s">
        <v>19</v>
      </c>
      <c r="B9" s="341" t="s">
        <v>77</v>
      </c>
      <c r="C9" s="342">
        <f>C10+C15+C16</f>
        <v>95851</v>
      </c>
      <c r="D9" s="342">
        <f>D10+D15+D16</f>
        <v>0</v>
      </c>
      <c r="E9" s="15"/>
    </row>
    <row r="10" spans="1:5" ht="18.75" customHeight="1" x14ac:dyDescent="0.25">
      <c r="A10" s="343">
        <v>1</v>
      </c>
      <c r="B10" s="344" t="s">
        <v>62</v>
      </c>
      <c r="C10" s="224">
        <f>SUM(C11:C14)</f>
        <v>90332</v>
      </c>
      <c r="D10" s="224">
        <f>SUM(D11:D14)</f>
        <v>0</v>
      </c>
      <c r="E10" s="15"/>
    </row>
    <row r="11" spans="1:5" ht="18.75" customHeight="1" x14ac:dyDescent="0.25">
      <c r="A11" s="343" t="s">
        <v>23</v>
      </c>
      <c r="B11" s="344" t="s">
        <v>63</v>
      </c>
      <c r="C11" s="131">
        <v>5702</v>
      </c>
      <c r="D11" s="223"/>
    </row>
    <row r="12" spans="1:5" ht="18.75" customHeight="1" x14ac:dyDescent="0.25">
      <c r="A12" s="343" t="s">
        <v>23</v>
      </c>
      <c r="B12" s="344" t="s">
        <v>79</v>
      </c>
      <c r="C12" s="226">
        <v>5700</v>
      </c>
      <c r="D12" s="223"/>
    </row>
    <row r="13" spans="1:5" ht="18.75" customHeight="1" x14ac:dyDescent="0.25">
      <c r="A13" s="343" t="s">
        <v>23</v>
      </c>
      <c r="B13" s="344" t="s">
        <v>84</v>
      </c>
      <c r="C13" s="226">
        <v>72730</v>
      </c>
      <c r="D13" s="223"/>
    </row>
    <row r="14" spans="1:5" ht="18.75" customHeight="1" x14ac:dyDescent="0.25">
      <c r="A14" s="343" t="s">
        <v>23</v>
      </c>
      <c r="B14" s="344" t="s">
        <v>85</v>
      </c>
      <c r="C14" s="224">
        <f>3139+3061</f>
        <v>6200</v>
      </c>
      <c r="D14" s="223"/>
    </row>
    <row r="15" spans="1:5" ht="37.5" customHeight="1" x14ac:dyDescent="0.25">
      <c r="A15" s="343">
        <v>2</v>
      </c>
      <c r="B15" s="344" t="s">
        <v>88</v>
      </c>
      <c r="C15" s="224">
        <v>0</v>
      </c>
      <c r="D15" s="223"/>
    </row>
    <row r="16" spans="1:5" ht="18.75" customHeight="1" x14ac:dyDescent="0.25">
      <c r="A16" s="343">
        <v>3</v>
      </c>
      <c r="B16" s="344" t="s">
        <v>66</v>
      </c>
      <c r="C16" s="226">
        <f>3692+1827</f>
        <v>5519</v>
      </c>
      <c r="D16" s="223"/>
    </row>
    <row r="17" spans="1:4" ht="18.75" customHeight="1" x14ac:dyDescent="0.25">
      <c r="A17" s="340" t="s">
        <v>29</v>
      </c>
      <c r="B17" s="341" t="s">
        <v>89</v>
      </c>
      <c r="C17" s="342">
        <f>SUM(C18:C30)</f>
        <v>271466.97302000003</v>
      </c>
      <c r="D17" s="342">
        <f>SUM(D18:D30)</f>
        <v>0</v>
      </c>
    </row>
    <row r="18" spans="1:4" ht="21.75" customHeight="1" x14ac:dyDescent="0.25">
      <c r="A18" s="343" t="s">
        <v>23</v>
      </c>
      <c r="B18" s="344" t="s">
        <v>90</v>
      </c>
      <c r="C18" s="224">
        <v>196470</v>
      </c>
      <c r="D18" s="223"/>
    </row>
    <row r="19" spans="1:4" ht="21.75" customHeight="1" x14ac:dyDescent="0.25">
      <c r="A19" s="343" t="s">
        <v>23</v>
      </c>
      <c r="B19" s="344" t="s">
        <v>91</v>
      </c>
      <c r="C19" s="224">
        <v>150</v>
      </c>
      <c r="D19" s="223"/>
    </row>
    <row r="20" spans="1:4" ht="21.75" customHeight="1" x14ac:dyDescent="0.25">
      <c r="A20" s="343" t="s">
        <v>23</v>
      </c>
      <c r="B20" s="344" t="s">
        <v>78</v>
      </c>
      <c r="C20" s="224">
        <v>2266.7730000000001</v>
      </c>
      <c r="D20" s="223"/>
    </row>
    <row r="21" spans="1:4" ht="18.75" customHeight="1" x14ac:dyDescent="0.25">
      <c r="A21" s="343" t="s">
        <v>23</v>
      </c>
      <c r="B21" s="344" t="s">
        <v>92</v>
      </c>
      <c r="C21" s="224">
        <v>1790</v>
      </c>
      <c r="D21" s="223"/>
    </row>
    <row r="22" spans="1:4" ht="18.75" customHeight="1" x14ac:dyDescent="0.25">
      <c r="A22" s="343" t="s">
        <v>23</v>
      </c>
      <c r="B22" s="344" t="s">
        <v>93</v>
      </c>
      <c r="C22" s="224">
        <v>941</v>
      </c>
      <c r="D22" s="223"/>
    </row>
    <row r="23" spans="1:4" ht="18.75" customHeight="1" x14ac:dyDescent="0.25">
      <c r="A23" s="343" t="s">
        <v>23</v>
      </c>
      <c r="B23" s="344" t="s">
        <v>80</v>
      </c>
      <c r="C23" s="224">
        <v>1432.0029999999999</v>
      </c>
      <c r="D23" s="223"/>
    </row>
    <row r="24" spans="1:4" ht="18.75" customHeight="1" x14ac:dyDescent="0.25">
      <c r="A24" s="343" t="s">
        <v>23</v>
      </c>
      <c r="B24" s="344" t="s">
        <v>81</v>
      </c>
      <c r="C24" s="224">
        <v>1068</v>
      </c>
      <c r="D24" s="223"/>
    </row>
    <row r="25" spans="1:4" ht="18.75" customHeight="1" x14ac:dyDescent="0.25">
      <c r="A25" s="343" t="s">
        <v>23</v>
      </c>
      <c r="B25" s="344" t="s">
        <v>94</v>
      </c>
      <c r="C25" s="224">
        <v>303</v>
      </c>
      <c r="D25" s="223"/>
    </row>
    <row r="26" spans="1:4" ht="18.75" customHeight="1" x14ac:dyDescent="0.25">
      <c r="A26" s="343" t="s">
        <v>23</v>
      </c>
      <c r="B26" s="344" t="s">
        <v>83</v>
      </c>
      <c r="C26" s="224">
        <v>5429</v>
      </c>
      <c r="D26" s="223"/>
    </row>
    <row r="27" spans="1:4" ht="18.75" customHeight="1" x14ac:dyDescent="0.25">
      <c r="A27" s="343" t="s">
        <v>23</v>
      </c>
      <c r="B27" s="344" t="s">
        <v>84</v>
      </c>
      <c r="C27" s="224">
        <v>15195.412</v>
      </c>
      <c r="D27" s="223"/>
    </row>
    <row r="28" spans="1:4" ht="18.75" customHeight="1" x14ac:dyDescent="0.25">
      <c r="A28" s="343" t="s">
        <v>23</v>
      </c>
      <c r="B28" s="344" t="s">
        <v>95</v>
      </c>
      <c r="C28" s="224">
        <v>27461.005020000001</v>
      </c>
      <c r="D28" s="223"/>
    </row>
    <row r="29" spans="1:4" ht="18.75" customHeight="1" x14ac:dyDescent="0.25">
      <c r="A29" s="343" t="s">
        <v>23</v>
      </c>
      <c r="B29" s="344" t="s">
        <v>86</v>
      </c>
      <c r="C29" s="224">
        <v>16244.78</v>
      </c>
      <c r="D29" s="223"/>
    </row>
    <row r="30" spans="1:4" ht="18.75" customHeight="1" x14ac:dyDescent="0.25">
      <c r="A30" s="343" t="s">
        <v>23</v>
      </c>
      <c r="B30" s="344" t="s">
        <v>96</v>
      </c>
      <c r="C30" s="224">
        <v>2716</v>
      </c>
      <c r="D30" s="223"/>
    </row>
    <row r="31" spans="1:4" ht="18.75" customHeight="1" x14ac:dyDescent="0.25">
      <c r="A31" s="340" t="s">
        <v>35</v>
      </c>
      <c r="B31" s="341" t="s">
        <v>71</v>
      </c>
      <c r="C31" s="342">
        <v>5849</v>
      </c>
      <c r="D31" s="345"/>
    </row>
    <row r="32" spans="1:4" ht="18.75" customHeight="1" x14ac:dyDescent="0.25">
      <c r="A32" s="340" t="s">
        <v>68</v>
      </c>
      <c r="B32" s="341" t="s">
        <v>73</v>
      </c>
      <c r="C32" s="342">
        <v>5355</v>
      </c>
      <c r="D32" s="223"/>
    </row>
    <row r="33" spans="1:4" ht="18.75" customHeight="1" x14ac:dyDescent="0.25">
      <c r="A33" s="346" t="s">
        <v>74</v>
      </c>
      <c r="B33" s="347" t="s">
        <v>75</v>
      </c>
      <c r="C33" s="348">
        <v>0</v>
      </c>
      <c r="D33" s="348"/>
    </row>
    <row r="34" spans="1:4" hidden="1" x14ac:dyDescent="0.25">
      <c r="A34" s="128" t="s">
        <v>660</v>
      </c>
    </row>
    <row r="35" spans="1:4" ht="67.5" hidden="1" customHeight="1" x14ac:dyDescent="0.25">
      <c r="A35" s="615" t="s">
        <v>1</v>
      </c>
      <c r="B35" s="615"/>
      <c r="C35" s="615"/>
      <c r="D35" s="129"/>
    </row>
    <row r="36" spans="1:4" ht="34.5" hidden="1" customHeight="1" x14ac:dyDescent="0.25">
      <c r="A36" s="615" t="s">
        <v>97</v>
      </c>
      <c r="B36" s="615"/>
      <c r="C36" s="615"/>
      <c r="D36" s="129"/>
    </row>
    <row r="37" spans="1:4" ht="21" customHeight="1" x14ac:dyDescent="0.25">
      <c r="A37" s="130"/>
    </row>
    <row r="38" spans="1:4" ht="21" customHeight="1" x14ac:dyDescent="0.25"/>
    <row r="39" spans="1:4" ht="21" customHeight="1" x14ac:dyDescent="0.25"/>
    <row r="40" spans="1:4" ht="21" customHeight="1" x14ac:dyDescent="0.25"/>
    <row r="41" spans="1:4" ht="21" customHeight="1" x14ac:dyDescent="0.25"/>
    <row r="42" spans="1:4" ht="21" customHeight="1" x14ac:dyDescent="0.25"/>
    <row r="43" spans="1:4" ht="21" customHeight="1" x14ac:dyDescent="0.25"/>
    <row r="44" spans="1:4" ht="21" customHeight="1" x14ac:dyDescent="0.25"/>
    <row r="45" spans="1:4" ht="21" customHeight="1" x14ac:dyDescent="0.25"/>
    <row r="46" spans="1:4" ht="21" customHeight="1" x14ac:dyDescent="0.25"/>
    <row r="47" spans="1:4" ht="21" customHeight="1" x14ac:dyDescent="0.25"/>
    <row r="48" spans="1:4"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sheetData>
  <mergeCells count="6">
    <mergeCell ref="A36:C36"/>
    <mergeCell ref="A1:B1"/>
    <mergeCell ref="A35:C35"/>
    <mergeCell ref="A2:D2"/>
    <mergeCell ref="C1:D1"/>
    <mergeCell ref="C3:D3"/>
  </mergeCells>
  <phoneticPr fontId="16" type="noConversion"/>
  <printOptions horizontalCentered="1"/>
  <pageMargins left="0.35433070866141736" right="0.27559055118110237" top="0.31496062992125984" bottom="0.31496062992125984" header="0.31496062992125984" footer="0.23622047244094491"/>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85"/>
  <sheetViews>
    <sheetView workbookViewId="0">
      <pane xSplit="3" ySplit="7" topLeftCell="D77" activePane="bottomRight" state="frozen"/>
      <selection pane="topRight" activeCell="D1" sqref="D1"/>
      <selection pane="bottomLeft" activeCell="A8" sqref="A8"/>
      <selection pane="bottomRight" sqref="A1:M80"/>
    </sheetView>
  </sheetViews>
  <sheetFormatPr defaultRowHeight="15" x14ac:dyDescent="0.25"/>
  <cols>
    <col min="1" max="1" width="6.42578125" style="2" customWidth="1"/>
    <col min="2" max="2" width="38.28515625" style="2" customWidth="1"/>
    <col min="3" max="3" width="14.28515625" style="2" customWidth="1"/>
    <col min="4" max="4" width="18" style="2" customWidth="1"/>
    <col min="5" max="5" width="14.28515625" style="2" customWidth="1"/>
    <col min="6" max="7" width="14.28515625" style="2" hidden="1" customWidth="1"/>
    <col min="8" max="8" width="11.140625" style="2" customWidth="1"/>
    <col min="9" max="9" width="12.140625" style="2" customWidth="1"/>
    <col min="10" max="12" width="14.28515625" style="2" customWidth="1"/>
    <col min="13" max="13" width="13.7109375" style="2" customWidth="1"/>
    <col min="14" max="14" width="16.85546875" style="2" customWidth="1"/>
    <col min="15" max="16384" width="9.140625" style="2"/>
  </cols>
  <sheetData>
    <row r="1" spans="1:14" x14ac:dyDescent="0.25">
      <c r="A1" s="530" t="s">
        <v>178</v>
      </c>
      <c r="B1" s="530"/>
      <c r="C1" s="15"/>
      <c r="D1" s="349"/>
      <c r="E1" s="271"/>
      <c r="H1" s="349"/>
      <c r="J1" s="349"/>
      <c r="L1" s="530" t="s">
        <v>98</v>
      </c>
      <c r="M1" s="530"/>
    </row>
    <row r="2" spans="1:14" x14ac:dyDescent="0.25">
      <c r="A2" s="530" t="s">
        <v>415</v>
      </c>
      <c r="B2" s="530"/>
      <c r="C2" s="530"/>
      <c r="D2" s="530"/>
      <c r="E2" s="530"/>
      <c r="F2" s="530"/>
      <c r="G2" s="530"/>
      <c r="H2" s="530"/>
      <c r="I2" s="530"/>
      <c r="J2" s="530"/>
      <c r="K2" s="530"/>
      <c r="L2" s="530"/>
      <c r="M2" s="530"/>
    </row>
    <row r="3" spans="1:14" x14ac:dyDescent="0.25">
      <c r="A3" s="350"/>
      <c r="B3" s="350"/>
      <c r="C3" s="282"/>
      <c r="D3" s="351"/>
      <c r="E3" s="282"/>
      <c r="F3" s="16"/>
      <c r="G3" s="351"/>
      <c r="H3" s="351"/>
      <c r="I3" s="351"/>
      <c r="J3" s="16"/>
      <c r="K3" s="351"/>
      <c r="L3" s="282"/>
      <c r="M3" s="40"/>
      <c r="N3" s="352"/>
    </row>
    <row r="4" spans="1:14" ht="23.25" customHeight="1" x14ac:dyDescent="0.25">
      <c r="A4" s="618" t="s">
        <v>13</v>
      </c>
      <c r="B4" s="618" t="s">
        <v>666</v>
      </c>
      <c r="C4" s="623" t="s">
        <v>45</v>
      </c>
      <c r="D4" s="623" t="s">
        <v>667</v>
      </c>
      <c r="E4" s="623" t="s">
        <v>668</v>
      </c>
      <c r="F4" s="623" t="s">
        <v>255</v>
      </c>
      <c r="G4" s="623" t="s">
        <v>69</v>
      </c>
      <c r="H4" s="623" t="s">
        <v>99</v>
      </c>
      <c r="I4" s="623" t="s">
        <v>73</v>
      </c>
      <c r="J4" s="620" t="s">
        <v>100</v>
      </c>
      <c r="K4" s="621"/>
      <c r="L4" s="622"/>
      <c r="M4" s="623" t="s">
        <v>101</v>
      </c>
      <c r="N4" s="352"/>
    </row>
    <row r="5" spans="1:14" ht="58.5" customHeight="1" x14ac:dyDescent="0.25">
      <c r="A5" s="619"/>
      <c r="B5" s="619"/>
      <c r="C5" s="619"/>
      <c r="D5" s="619"/>
      <c r="E5" s="619"/>
      <c r="F5" s="619"/>
      <c r="G5" s="619"/>
      <c r="H5" s="619"/>
      <c r="I5" s="619"/>
      <c r="J5" s="272" t="s">
        <v>45</v>
      </c>
      <c r="K5" s="272" t="s">
        <v>102</v>
      </c>
      <c r="L5" s="272" t="s">
        <v>89</v>
      </c>
      <c r="M5" s="619"/>
      <c r="N5" s="352"/>
    </row>
    <row r="6" spans="1:14" x14ac:dyDescent="0.25">
      <c r="A6" s="353" t="s">
        <v>17</v>
      </c>
      <c r="B6" s="354"/>
      <c r="C6" s="353">
        <v>1</v>
      </c>
      <c r="D6" s="353">
        <v>2</v>
      </c>
      <c r="E6" s="353">
        <v>3</v>
      </c>
      <c r="F6" s="353">
        <v>4</v>
      </c>
      <c r="G6" s="353">
        <v>5</v>
      </c>
      <c r="H6" s="353">
        <v>4</v>
      </c>
      <c r="I6" s="353">
        <v>5</v>
      </c>
      <c r="J6" s="353">
        <v>6</v>
      </c>
      <c r="K6" s="353">
        <v>7</v>
      </c>
      <c r="L6" s="353">
        <v>8</v>
      </c>
      <c r="M6" s="353">
        <v>9</v>
      </c>
      <c r="N6" s="40"/>
    </row>
    <row r="7" spans="1:14" s="18" customFormat="1" ht="24" customHeight="1" x14ac:dyDescent="0.2">
      <c r="A7" s="355"/>
      <c r="B7" s="355" t="s">
        <v>57</v>
      </c>
      <c r="C7" s="356">
        <f t="shared" ref="C7:M7" si="0">C8+C65+C66+C67+C68+C80</f>
        <v>437617.74899999989</v>
      </c>
      <c r="D7" s="356">
        <f t="shared" si="0"/>
        <v>95851</v>
      </c>
      <c r="E7" s="356">
        <f t="shared" si="0"/>
        <v>329348.74899999995</v>
      </c>
      <c r="F7" s="356">
        <f t="shared" si="0"/>
        <v>0</v>
      </c>
      <c r="G7" s="356">
        <f t="shared" si="0"/>
        <v>0</v>
      </c>
      <c r="H7" s="356">
        <f t="shared" si="0"/>
        <v>7063</v>
      </c>
      <c r="I7" s="356">
        <f t="shared" si="0"/>
        <v>5355</v>
      </c>
      <c r="J7" s="356">
        <f t="shared" si="0"/>
        <v>0</v>
      </c>
      <c r="K7" s="356">
        <f t="shared" si="0"/>
        <v>0</v>
      </c>
      <c r="L7" s="356">
        <f t="shared" si="0"/>
        <v>0</v>
      </c>
      <c r="M7" s="356">
        <f t="shared" si="0"/>
        <v>0</v>
      </c>
      <c r="N7" s="357"/>
    </row>
    <row r="8" spans="1:14" s="18" customFormat="1" ht="24" customHeight="1" x14ac:dyDescent="0.2">
      <c r="A8" s="358" t="s">
        <v>19</v>
      </c>
      <c r="B8" s="359" t="s">
        <v>103</v>
      </c>
      <c r="C8" s="360">
        <f t="shared" ref="C8:M8" si="1">C9+C32+C42+C53</f>
        <v>367317.96999999991</v>
      </c>
      <c r="D8" s="360">
        <f t="shared" si="1"/>
        <v>95851</v>
      </c>
      <c r="E8" s="360">
        <f t="shared" si="1"/>
        <v>271466.96999999997</v>
      </c>
      <c r="F8" s="360">
        <f t="shared" si="1"/>
        <v>0</v>
      </c>
      <c r="G8" s="360">
        <f t="shared" si="1"/>
        <v>0</v>
      </c>
      <c r="H8" s="360">
        <f t="shared" si="1"/>
        <v>0</v>
      </c>
      <c r="I8" s="360">
        <f t="shared" si="1"/>
        <v>0</v>
      </c>
      <c r="J8" s="360">
        <f t="shared" si="1"/>
        <v>0</v>
      </c>
      <c r="K8" s="360">
        <f t="shared" si="1"/>
        <v>0</v>
      </c>
      <c r="L8" s="360">
        <f t="shared" si="1"/>
        <v>0</v>
      </c>
      <c r="M8" s="360">
        <f t="shared" si="1"/>
        <v>0</v>
      </c>
      <c r="N8" s="357"/>
    </row>
    <row r="9" spans="1:14" s="18" customFormat="1" ht="24" customHeight="1" x14ac:dyDescent="0.2">
      <c r="A9" s="277" t="s">
        <v>256</v>
      </c>
      <c r="B9" s="275" t="s">
        <v>257</v>
      </c>
      <c r="C9" s="276">
        <f t="shared" ref="C9:M9" si="2">C10+C24</f>
        <v>57055.784999999989</v>
      </c>
      <c r="D9" s="276">
        <f t="shared" si="2"/>
        <v>9298</v>
      </c>
      <c r="E9" s="276">
        <f t="shared" si="2"/>
        <v>47757.784999999989</v>
      </c>
      <c r="F9" s="276">
        <f t="shared" si="2"/>
        <v>0</v>
      </c>
      <c r="G9" s="276">
        <f t="shared" si="2"/>
        <v>0</v>
      </c>
      <c r="H9" s="276">
        <f t="shared" si="2"/>
        <v>0</v>
      </c>
      <c r="I9" s="276">
        <f t="shared" si="2"/>
        <v>0</v>
      </c>
      <c r="J9" s="276">
        <f t="shared" si="2"/>
        <v>0</v>
      </c>
      <c r="K9" s="276">
        <f t="shared" si="2"/>
        <v>0</v>
      </c>
      <c r="L9" s="276">
        <f t="shared" si="2"/>
        <v>0</v>
      </c>
      <c r="M9" s="276">
        <f t="shared" si="2"/>
        <v>0</v>
      </c>
      <c r="N9" s="357"/>
    </row>
    <row r="10" spans="1:14" s="18" customFormat="1" ht="24" customHeight="1" x14ac:dyDescent="0.2">
      <c r="A10" s="77" t="s">
        <v>159</v>
      </c>
      <c r="B10" s="78" t="s">
        <v>258</v>
      </c>
      <c r="C10" s="279">
        <f t="shared" ref="C10:M10" si="3">SUM(C11:C23)</f>
        <v>39376.124999999985</v>
      </c>
      <c r="D10" s="279">
        <f t="shared" si="3"/>
        <v>3098</v>
      </c>
      <c r="E10" s="361">
        <f t="shared" si="3"/>
        <v>36278.124999999985</v>
      </c>
      <c r="F10" s="279">
        <f t="shared" si="3"/>
        <v>0</v>
      </c>
      <c r="G10" s="279">
        <f t="shared" si="3"/>
        <v>0</v>
      </c>
      <c r="H10" s="279">
        <f t="shared" si="3"/>
        <v>0</v>
      </c>
      <c r="I10" s="279">
        <f t="shared" si="3"/>
        <v>0</v>
      </c>
      <c r="J10" s="279">
        <f t="shared" si="3"/>
        <v>0</v>
      </c>
      <c r="K10" s="279">
        <f t="shared" si="3"/>
        <v>0</v>
      </c>
      <c r="L10" s="279">
        <f t="shared" si="3"/>
        <v>0</v>
      </c>
      <c r="M10" s="279">
        <f t="shared" si="3"/>
        <v>0</v>
      </c>
    </row>
    <row r="11" spans="1:14" ht="24" customHeight="1" x14ac:dyDescent="0.25">
      <c r="A11" s="103">
        <v>1</v>
      </c>
      <c r="B11" s="87" t="s">
        <v>259</v>
      </c>
      <c r="C11" s="362">
        <f>D11+E11+F11+G11+H11+I11+J11+M11</f>
        <v>6331.6819999999998</v>
      </c>
      <c r="D11" s="362"/>
      <c r="E11" s="362">
        <f>100+1437.612+4794.07</f>
        <v>6331.6819999999998</v>
      </c>
      <c r="F11" s="88"/>
      <c r="G11" s="88"/>
      <c r="H11" s="88"/>
      <c r="I11" s="88"/>
      <c r="J11" s="88">
        <f>SUM(K11:L11)</f>
        <v>0</v>
      </c>
      <c r="K11" s="88"/>
      <c r="L11" s="88"/>
      <c r="M11" s="88"/>
      <c r="N11" s="270"/>
    </row>
    <row r="12" spans="1:14" ht="24" customHeight="1" x14ac:dyDescent="0.25">
      <c r="A12" s="103">
        <v>2</v>
      </c>
      <c r="B12" s="87" t="s">
        <v>260</v>
      </c>
      <c r="C12" s="362">
        <f>D12+E12+F12+G12+H12+I12+J12+M12</f>
        <v>962.80700000000002</v>
      </c>
      <c r="D12" s="362"/>
      <c r="E12" s="362">
        <f>962.807</f>
        <v>962.80700000000002</v>
      </c>
      <c r="F12" s="88"/>
      <c r="G12" s="88"/>
      <c r="H12" s="88"/>
      <c r="I12" s="88"/>
      <c r="J12" s="88">
        <f>SUM(K12:L12)</f>
        <v>0</v>
      </c>
      <c r="K12" s="88"/>
      <c r="L12" s="88"/>
      <c r="M12" s="88"/>
    </row>
    <row r="13" spans="1:14" ht="24" customHeight="1" x14ac:dyDescent="0.25">
      <c r="A13" s="103">
        <v>3</v>
      </c>
      <c r="B13" s="87" t="s">
        <v>261</v>
      </c>
      <c r="C13" s="362">
        <f t="shared" ref="C13:C23" si="4">D13+E13+F13+G13+H13+I13+J13+M13</f>
        <v>912.13</v>
      </c>
      <c r="D13" s="362"/>
      <c r="E13" s="362">
        <f>912.13</f>
        <v>912.13</v>
      </c>
      <c r="F13" s="88"/>
      <c r="G13" s="88"/>
      <c r="H13" s="88"/>
      <c r="I13" s="88"/>
      <c r="J13" s="88">
        <f>SUM(K13:L13)</f>
        <v>0</v>
      </c>
      <c r="K13" s="88"/>
      <c r="L13" s="88"/>
      <c r="M13" s="88"/>
      <c r="N13" s="15"/>
    </row>
    <row r="14" spans="1:14" ht="24" customHeight="1" x14ac:dyDescent="0.25">
      <c r="A14" s="103">
        <v>4</v>
      </c>
      <c r="B14" s="87" t="s">
        <v>262</v>
      </c>
      <c r="C14" s="362">
        <f t="shared" si="4"/>
        <v>2142.4580000000001</v>
      </c>
      <c r="D14" s="362"/>
      <c r="E14" s="362">
        <f>150+150+1260+582.458</f>
        <v>2142.4580000000001</v>
      </c>
      <c r="F14" s="88"/>
      <c r="G14" s="88"/>
      <c r="H14" s="88"/>
      <c r="I14" s="88"/>
      <c r="J14" s="88">
        <f t="shared" ref="J14:J19" si="5">SUM(K14:L14)</f>
        <v>0</v>
      </c>
      <c r="K14" s="88"/>
      <c r="L14" s="88"/>
      <c r="M14" s="88"/>
    </row>
    <row r="15" spans="1:14" ht="24" customHeight="1" x14ac:dyDescent="0.25">
      <c r="A15" s="103">
        <v>5</v>
      </c>
      <c r="B15" s="87" t="s">
        <v>263</v>
      </c>
      <c r="C15" s="362">
        <f t="shared" si="4"/>
        <v>1203.2909999999999</v>
      </c>
      <c r="D15" s="362"/>
      <c r="E15" s="362">
        <f>1203.291</f>
        <v>1203.2909999999999</v>
      </c>
      <c r="F15" s="88"/>
      <c r="G15" s="88"/>
      <c r="H15" s="88"/>
      <c r="I15" s="88"/>
      <c r="J15" s="88">
        <f t="shared" si="5"/>
        <v>0</v>
      </c>
      <c r="K15" s="88"/>
      <c r="L15" s="88"/>
      <c r="M15" s="88"/>
    </row>
    <row r="16" spans="1:14" ht="24" customHeight="1" x14ac:dyDescent="0.25">
      <c r="A16" s="103">
        <v>6</v>
      </c>
      <c r="B16" s="87" t="s">
        <v>264</v>
      </c>
      <c r="C16" s="362">
        <f t="shared" si="4"/>
        <v>933.72</v>
      </c>
      <c r="D16" s="362"/>
      <c r="E16" s="362">
        <v>933.72</v>
      </c>
      <c r="F16" s="88"/>
      <c r="G16" s="88"/>
      <c r="H16" s="88"/>
      <c r="I16" s="88"/>
      <c r="J16" s="88">
        <f t="shared" si="5"/>
        <v>0</v>
      </c>
      <c r="K16" s="88"/>
      <c r="L16" s="88"/>
      <c r="M16" s="88"/>
    </row>
    <row r="17" spans="1:13" ht="24" customHeight="1" x14ac:dyDescent="0.25">
      <c r="A17" s="103">
        <v>7</v>
      </c>
      <c r="B17" s="87" t="s">
        <v>265</v>
      </c>
      <c r="C17" s="362">
        <f t="shared" si="4"/>
        <v>439.96800000000002</v>
      </c>
      <c r="D17" s="362"/>
      <c r="E17" s="362">
        <v>439.96800000000002</v>
      </c>
      <c r="F17" s="88"/>
      <c r="G17" s="88"/>
      <c r="H17" s="88"/>
      <c r="I17" s="88"/>
      <c r="J17" s="88">
        <f t="shared" si="5"/>
        <v>0</v>
      </c>
      <c r="K17" s="88"/>
      <c r="L17" s="88"/>
      <c r="M17" s="88"/>
    </row>
    <row r="18" spans="1:13" ht="24" customHeight="1" x14ac:dyDescent="0.25">
      <c r="A18" s="103">
        <v>8</v>
      </c>
      <c r="B18" s="87" t="s">
        <v>266</v>
      </c>
      <c r="C18" s="362">
        <f t="shared" si="4"/>
        <v>18066.699999999997</v>
      </c>
      <c r="D18" s="362"/>
      <c r="E18" s="362">
        <f>91+941+65+14626.78+1376+966.92</f>
        <v>18066.699999999997</v>
      </c>
      <c r="F18" s="88"/>
      <c r="G18" s="88"/>
      <c r="H18" s="88"/>
      <c r="I18" s="88"/>
      <c r="J18" s="88">
        <f t="shared" si="5"/>
        <v>0</v>
      </c>
      <c r="K18" s="88"/>
      <c r="L18" s="88"/>
      <c r="M18" s="88"/>
    </row>
    <row r="19" spans="1:13" ht="24" customHeight="1" x14ac:dyDescent="0.25">
      <c r="A19" s="103">
        <v>9</v>
      </c>
      <c r="B19" s="87" t="s">
        <v>267</v>
      </c>
      <c r="C19" s="362">
        <f t="shared" si="4"/>
        <v>698.33999999999992</v>
      </c>
      <c r="D19" s="362"/>
      <c r="E19" s="362">
        <f>150+40+508.34</f>
        <v>698.33999999999992</v>
      </c>
      <c r="F19" s="88"/>
      <c r="G19" s="88"/>
      <c r="H19" s="88"/>
      <c r="I19" s="88"/>
      <c r="J19" s="88">
        <f t="shared" si="5"/>
        <v>0</v>
      </c>
      <c r="K19" s="88"/>
      <c r="L19" s="88"/>
      <c r="M19" s="88"/>
    </row>
    <row r="20" spans="1:13" ht="24" customHeight="1" x14ac:dyDescent="0.25">
      <c r="A20" s="103">
        <v>10</v>
      </c>
      <c r="B20" s="87" t="s">
        <v>268</v>
      </c>
      <c r="C20" s="362">
        <f t="shared" si="4"/>
        <v>4099.7280000000001</v>
      </c>
      <c r="D20" s="362">
        <f>3098</f>
        <v>3098</v>
      </c>
      <c r="E20" s="362">
        <f>50+951.728</f>
        <v>1001.728</v>
      </c>
      <c r="F20" s="88"/>
      <c r="G20" s="88"/>
      <c r="H20" s="88"/>
      <c r="I20" s="88"/>
      <c r="J20" s="88">
        <f>SUM(K20:L20)</f>
        <v>0</v>
      </c>
      <c r="K20" s="88"/>
      <c r="L20" s="88"/>
      <c r="M20" s="88"/>
    </row>
    <row r="21" spans="1:13" ht="24" customHeight="1" x14ac:dyDescent="0.25">
      <c r="A21" s="103">
        <v>11</v>
      </c>
      <c r="B21" s="87" t="s">
        <v>269</v>
      </c>
      <c r="C21" s="362">
        <f t="shared" si="4"/>
        <v>2025.84</v>
      </c>
      <c r="D21" s="362"/>
      <c r="E21" s="362">
        <f>70+1060.86+344.98+550</f>
        <v>2025.84</v>
      </c>
      <c r="F21" s="88"/>
      <c r="G21" s="88"/>
      <c r="H21" s="88"/>
      <c r="I21" s="88"/>
      <c r="J21" s="88">
        <f>SUM(K21:L21)</f>
        <v>0</v>
      </c>
      <c r="K21" s="88"/>
      <c r="L21" s="88"/>
      <c r="M21" s="88"/>
    </row>
    <row r="22" spans="1:13" ht="24" customHeight="1" x14ac:dyDescent="0.25">
      <c r="A22" s="103">
        <v>12</v>
      </c>
      <c r="B22" s="87" t="s">
        <v>270</v>
      </c>
      <c r="C22" s="362">
        <f t="shared" si="4"/>
        <v>909.27</v>
      </c>
      <c r="D22" s="362"/>
      <c r="E22" s="362">
        <f>889.27+20</f>
        <v>909.27</v>
      </c>
      <c r="F22" s="88"/>
      <c r="G22" s="88"/>
      <c r="H22" s="88"/>
      <c r="I22" s="88"/>
      <c r="J22" s="88">
        <f>SUM(K22:L22)</f>
        <v>0</v>
      </c>
      <c r="K22" s="88"/>
      <c r="L22" s="88"/>
      <c r="M22" s="88"/>
    </row>
    <row r="23" spans="1:13" ht="24" customHeight="1" x14ac:dyDescent="0.25">
      <c r="A23" s="103">
        <v>13</v>
      </c>
      <c r="B23" s="87" t="s">
        <v>271</v>
      </c>
      <c r="C23" s="362">
        <f t="shared" si="4"/>
        <v>650.19100000000003</v>
      </c>
      <c r="D23" s="362"/>
      <c r="E23" s="362">
        <f>107+543.191</f>
        <v>650.19100000000003</v>
      </c>
      <c r="F23" s="88"/>
      <c r="G23" s="88"/>
      <c r="H23" s="88"/>
      <c r="I23" s="88"/>
      <c r="J23" s="88">
        <f>SUM(K23:L23)</f>
        <v>0</v>
      </c>
      <c r="K23" s="88"/>
      <c r="L23" s="88"/>
      <c r="M23" s="88"/>
    </row>
    <row r="24" spans="1:13" s="18" customFormat="1" ht="24" customHeight="1" x14ac:dyDescent="0.2">
      <c r="A24" s="77" t="s">
        <v>160</v>
      </c>
      <c r="B24" s="78" t="s">
        <v>272</v>
      </c>
      <c r="C24" s="363">
        <f t="shared" ref="C24:M24" si="6">SUM(C25:C31)</f>
        <v>17679.660000000003</v>
      </c>
      <c r="D24" s="363">
        <f t="shared" si="6"/>
        <v>6200</v>
      </c>
      <c r="E24" s="363">
        <f>SUM(E25:E31)</f>
        <v>11479.66</v>
      </c>
      <c r="F24" s="279">
        <f t="shared" si="6"/>
        <v>0</v>
      </c>
      <c r="G24" s="279">
        <f t="shared" si="6"/>
        <v>0</v>
      </c>
      <c r="H24" s="279">
        <f t="shared" si="6"/>
        <v>0</v>
      </c>
      <c r="I24" s="279">
        <f t="shared" si="6"/>
        <v>0</v>
      </c>
      <c r="J24" s="279">
        <f t="shared" si="6"/>
        <v>0</v>
      </c>
      <c r="K24" s="279">
        <f t="shared" si="6"/>
        <v>0</v>
      </c>
      <c r="L24" s="279">
        <f t="shared" si="6"/>
        <v>0</v>
      </c>
      <c r="M24" s="279">
        <f t="shared" si="6"/>
        <v>0</v>
      </c>
    </row>
    <row r="25" spans="1:13" ht="24" customHeight="1" x14ac:dyDescent="0.25">
      <c r="A25" s="103">
        <v>1</v>
      </c>
      <c r="B25" s="87" t="s">
        <v>273</v>
      </c>
      <c r="C25" s="362">
        <f t="shared" ref="C25:C31" si="7">D25+E25+F25+G25+H25+I25+J25+M25</f>
        <v>14720.552</v>
      </c>
      <c r="D25" s="362">
        <v>6200</v>
      </c>
      <c r="E25" s="362">
        <f>7970.552+550</f>
        <v>8520.5519999999997</v>
      </c>
      <c r="F25" s="88"/>
      <c r="G25" s="88"/>
      <c r="H25" s="88"/>
      <c r="I25" s="88"/>
      <c r="J25" s="88">
        <f t="shared" ref="J25:J31" si="8">SUM(K25:L25)</f>
        <v>0</v>
      </c>
      <c r="K25" s="88"/>
      <c r="L25" s="88"/>
      <c r="M25" s="88"/>
    </row>
    <row r="26" spans="1:13" ht="24" customHeight="1" x14ac:dyDescent="0.25">
      <c r="A26" s="103">
        <v>2</v>
      </c>
      <c r="B26" s="87" t="s">
        <v>274</v>
      </c>
      <c r="C26" s="362">
        <f t="shared" si="7"/>
        <v>644.47400000000005</v>
      </c>
      <c r="D26" s="362"/>
      <c r="E26" s="362">
        <v>644.47400000000005</v>
      </c>
      <c r="F26" s="88"/>
      <c r="G26" s="88"/>
      <c r="H26" s="88"/>
      <c r="I26" s="88"/>
      <c r="J26" s="88">
        <f t="shared" si="8"/>
        <v>0</v>
      </c>
      <c r="K26" s="88"/>
      <c r="L26" s="88"/>
      <c r="M26" s="88"/>
    </row>
    <row r="27" spans="1:13" ht="24" customHeight="1" x14ac:dyDescent="0.25">
      <c r="A27" s="103">
        <v>3</v>
      </c>
      <c r="B27" s="87" t="s">
        <v>275</v>
      </c>
      <c r="C27" s="362">
        <f t="shared" si="7"/>
        <v>699.55899999999997</v>
      </c>
      <c r="D27" s="362"/>
      <c r="E27" s="362">
        <v>699.55899999999997</v>
      </c>
      <c r="F27" s="88"/>
      <c r="G27" s="88"/>
      <c r="H27" s="88"/>
      <c r="I27" s="88"/>
      <c r="J27" s="88">
        <f t="shared" si="8"/>
        <v>0</v>
      </c>
      <c r="K27" s="88"/>
      <c r="L27" s="88"/>
      <c r="M27" s="88"/>
    </row>
    <row r="28" spans="1:13" ht="24" customHeight="1" x14ac:dyDescent="0.25">
      <c r="A28" s="103">
        <v>4</v>
      </c>
      <c r="B28" s="87" t="s">
        <v>276</v>
      </c>
      <c r="C28" s="362">
        <f t="shared" si="7"/>
        <v>592.98800000000006</v>
      </c>
      <c r="D28" s="362"/>
      <c r="E28" s="362">
        <v>592.98800000000006</v>
      </c>
      <c r="F28" s="88"/>
      <c r="G28" s="88"/>
      <c r="H28" s="88"/>
      <c r="I28" s="88"/>
      <c r="J28" s="88">
        <f t="shared" si="8"/>
        <v>0</v>
      </c>
      <c r="K28" s="88"/>
      <c r="L28" s="88"/>
      <c r="M28" s="88"/>
    </row>
    <row r="29" spans="1:13" ht="24" customHeight="1" x14ac:dyDescent="0.25">
      <c r="A29" s="103">
        <v>5</v>
      </c>
      <c r="B29" s="87" t="s">
        <v>277</v>
      </c>
      <c r="C29" s="362">
        <f t="shared" si="7"/>
        <v>465.2</v>
      </c>
      <c r="D29" s="362"/>
      <c r="E29" s="362">
        <f>465.2</f>
        <v>465.2</v>
      </c>
      <c r="F29" s="88"/>
      <c r="G29" s="88"/>
      <c r="H29" s="88"/>
      <c r="I29" s="88"/>
      <c r="J29" s="88">
        <f t="shared" si="8"/>
        <v>0</v>
      </c>
      <c r="K29" s="88"/>
      <c r="L29" s="88"/>
      <c r="M29" s="88"/>
    </row>
    <row r="30" spans="1:13" ht="24" customHeight="1" x14ac:dyDescent="0.25">
      <c r="A30" s="103">
        <v>6</v>
      </c>
      <c r="B30" s="87" t="s">
        <v>278</v>
      </c>
      <c r="C30" s="362">
        <f t="shared" si="7"/>
        <v>436.18700000000001</v>
      </c>
      <c r="D30" s="362"/>
      <c r="E30" s="362">
        <v>436.18700000000001</v>
      </c>
      <c r="F30" s="88"/>
      <c r="G30" s="88"/>
      <c r="H30" s="88"/>
      <c r="I30" s="88"/>
      <c r="J30" s="88">
        <f t="shared" si="8"/>
        <v>0</v>
      </c>
      <c r="K30" s="88"/>
      <c r="L30" s="88"/>
      <c r="M30" s="88"/>
    </row>
    <row r="31" spans="1:13" ht="24" customHeight="1" x14ac:dyDescent="0.25">
      <c r="A31" s="103">
        <v>7</v>
      </c>
      <c r="B31" s="87" t="s">
        <v>279</v>
      </c>
      <c r="C31" s="362">
        <f t="shared" si="7"/>
        <v>120.7</v>
      </c>
      <c r="D31" s="362"/>
      <c r="E31" s="362">
        <v>120.7</v>
      </c>
      <c r="F31" s="88"/>
      <c r="G31" s="88"/>
      <c r="H31" s="88"/>
      <c r="I31" s="88"/>
      <c r="J31" s="88">
        <f t="shared" si="8"/>
        <v>0</v>
      </c>
      <c r="K31" s="88"/>
      <c r="L31" s="88"/>
      <c r="M31" s="88"/>
    </row>
    <row r="32" spans="1:13" s="18" customFormat="1" ht="24" customHeight="1" x14ac:dyDescent="0.2">
      <c r="A32" s="77" t="s">
        <v>281</v>
      </c>
      <c r="B32" s="78" t="s">
        <v>282</v>
      </c>
      <c r="C32" s="363">
        <f t="shared" ref="C32:M32" si="9">SUM(C33:C41)</f>
        <v>304609.41199999995</v>
      </c>
      <c r="D32" s="279">
        <f t="shared" si="9"/>
        <v>86553</v>
      </c>
      <c r="E32" s="363">
        <f t="shared" si="9"/>
        <v>218056.41200000001</v>
      </c>
      <c r="F32" s="279">
        <f t="shared" si="9"/>
        <v>0</v>
      </c>
      <c r="G32" s="279">
        <f t="shared" si="9"/>
        <v>0</v>
      </c>
      <c r="H32" s="279">
        <f t="shared" si="9"/>
        <v>0</v>
      </c>
      <c r="I32" s="279">
        <f t="shared" si="9"/>
        <v>0</v>
      </c>
      <c r="J32" s="279">
        <f t="shared" si="9"/>
        <v>0</v>
      </c>
      <c r="K32" s="279">
        <f t="shared" si="9"/>
        <v>0</v>
      </c>
      <c r="L32" s="279">
        <f t="shared" si="9"/>
        <v>0</v>
      </c>
      <c r="M32" s="279">
        <f t="shared" si="9"/>
        <v>0</v>
      </c>
    </row>
    <row r="33" spans="1:13" ht="24" customHeight="1" x14ac:dyDescent="0.25">
      <c r="A33" s="103">
        <v>1</v>
      </c>
      <c r="B33" s="87" t="s">
        <v>439</v>
      </c>
      <c r="C33" s="362">
        <f t="shared" ref="C33:C40" si="10">D33+E33+F33+G33+H33+I33+J33+M33</f>
        <v>194224.48</v>
      </c>
      <c r="D33" s="362"/>
      <c r="E33" s="362">
        <f>194315.48-91</f>
        <v>194224.48</v>
      </c>
      <c r="F33" s="88"/>
      <c r="G33" s="88"/>
      <c r="H33" s="88"/>
      <c r="I33" s="88"/>
      <c r="J33" s="88">
        <f t="shared" ref="J33:J40" si="11">SUM(K33:L33)</f>
        <v>0</v>
      </c>
      <c r="K33" s="88"/>
      <c r="L33" s="88"/>
      <c r="M33" s="88"/>
    </row>
    <row r="34" spans="1:13" ht="24" customHeight="1" x14ac:dyDescent="0.25">
      <c r="A34" s="103">
        <v>2</v>
      </c>
      <c r="B34" s="87" t="s">
        <v>280</v>
      </c>
      <c r="C34" s="362">
        <f t="shared" ref="C34" si="12">D34+E34+F34+G34+H34+I34+J34+M34</f>
        <v>802.71</v>
      </c>
      <c r="D34" s="362"/>
      <c r="E34" s="362">
        <v>802.71</v>
      </c>
      <c r="F34" s="88"/>
      <c r="G34" s="88"/>
      <c r="H34" s="88"/>
      <c r="I34" s="88"/>
      <c r="J34" s="88">
        <f t="shared" ref="J34" si="13">SUM(K34:L34)</f>
        <v>0</v>
      </c>
      <c r="K34" s="88"/>
      <c r="L34" s="88"/>
      <c r="M34" s="88"/>
    </row>
    <row r="35" spans="1:13" ht="24" customHeight="1" x14ac:dyDescent="0.25">
      <c r="A35" s="103">
        <v>3</v>
      </c>
      <c r="B35" s="87" t="s">
        <v>284</v>
      </c>
      <c r="C35" s="362">
        <f t="shared" si="10"/>
        <v>1351.81</v>
      </c>
      <c r="D35" s="362"/>
      <c r="E35" s="362">
        <v>1351.81</v>
      </c>
      <c r="F35" s="88"/>
      <c r="G35" s="88"/>
      <c r="H35" s="88"/>
      <c r="I35" s="88"/>
      <c r="J35" s="88">
        <f t="shared" si="11"/>
        <v>0</v>
      </c>
      <c r="K35" s="88"/>
      <c r="L35" s="88"/>
      <c r="M35" s="88"/>
    </row>
    <row r="36" spans="1:13" ht="35.25" customHeight="1" x14ac:dyDescent="0.25">
      <c r="A36" s="103">
        <v>4</v>
      </c>
      <c r="B36" s="87" t="s">
        <v>400</v>
      </c>
      <c r="C36" s="362">
        <f t="shared" ref="C36" si="14">D36+E36+F36+G36+H36+I36+J36+M36</f>
        <v>2613</v>
      </c>
      <c r="D36" s="362"/>
      <c r="E36" s="362">
        <f>1242+303+1068</f>
        <v>2613</v>
      </c>
      <c r="F36" s="88"/>
      <c r="G36" s="88"/>
      <c r="H36" s="88"/>
      <c r="I36" s="88"/>
      <c r="J36" s="88">
        <f t="shared" ref="J36" si="15">SUM(K36:L36)</f>
        <v>0</v>
      </c>
      <c r="K36" s="88"/>
      <c r="L36" s="88"/>
      <c r="M36" s="88"/>
    </row>
    <row r="37" spans="1:13" ht="24" customHeight="1" x14ac:dyDescent="0.25">
      <c r="A37" s="103">
        <v>5</v>
      </c>
      <c r="B37" s="87" t="s">
        <v>347</v>
      </c>
      <c r="C37" s="362">
        <f t="shared" ref="C37" si="16">D37+E37+F37+G37+H37+I37+J37+M37</f>
        <v>2213.6219999999998</v>
      </c>
      <c r="D37" s="362"/>
      <c r="E37" s="362">
        <f>2213.622</f>
        <v>2213.6219999999998</v>
      </c>
      <c r="F37" s="88"/>
      <c r="G37" s="88"/>
      <c r="H37" s="88"/>
      <c r="I37" s="88"/>
      <c r="J37" s="88">
        <f t="shared" ref="J37" si="17">SUM(K37:L37)</f>
        <v>0</v>
      </c>
      <c r="K37" s="88"/>
      <c r="L37" s="88"/>
      <c r="M37" s="88"/>
    </row>
    <row r="38" spans="1:13" ht="24" customHeight="1" x14ac:dyDescent="0.25">
      <c r="A38" s="103">
        <v>6</v>
      </c>
      <c r="B38" s="87" t="s">
        <v>346</v>
      </c>
      <c r="C38" s="362">
        <f t="shared" si="10"/>
        <v>6949</v>
      </c>
      <c r="D38" s="362"/>
      <c r="E38" s="362">
        <f>5379+570+700+300</f>
        <v>6949</v>
      </c>
      <c r="F38" s="88"/>
      <c r="G38" s="88"/>
      <c r="H38" s="88"/>
      <c r="I38" s="88"/>
      <c r="J38" s="88">
        <f t="shared" si="11"/>
        <v>0</v>
      </c>
      <c r="K38" s="88"/>
      <c r="L38" s="88"/>
      <c r="M38" s="88"/>
    </row>
    <row r="39" spans="1:13" ht="24" customHeight="1" x14ac:dyDescent="0.25">
      <c r="A39" s="103">
        <v>7</v>
      </c>
      <c r="B39" s="87" t="s">
        <v>285</v>
      </c>
      <c r="C39" s="362">
        <f t="shared" si="10"/>
        <v>91657</v>
      </c>
      <c r="D39" s="88">
        <f>74693+3739+5700</f>
        <v>84132</v>
      </c>
      <c r="E39" s="362">
        <v>7525</v>
      </c>
      <c r="F39" s="88"/>
      <c r="G39" s="88"/>
      <c r="H39" s="88"/>
      <c r="I39" s="88"/>
      <c r="J39" s="88">
        <f t="shared" si="11"/>
        <v>0</v>
      </c>
      <c r="K39" s="88"/>
      <c r="L39" s="88"/>
      <c r="M39" s="88"/>
    </row>
    <row r="40" spans="1:13" ht="47.25" customHeight="1" x14ac:dyDescent="0.25">
      <c r="A40" s="103">
        <v>8</v>
      </c>
      <c r="B40" s="107" t="s">
        <v>430</v>
      </c>
      <c r="C40" s="362">
        <f t="shared" si="10"/>
        <v>2421</v>
      </c>
      <c r="D40" s="88">
        <v>2421</v>
      </c>
      <c r="E40" s="362"/>
      <c r="F40" s="88"/>
      <c r="G40" s="88"/>
      <c r="H40" s="88"/>
      <c r="I40" s="88"/>
      <c r="J40" s="88">
        <f t="shared" si="11"/>
        <v>0</v>
      </c>
      <c r="K40" s="88"/>
      <c r="L40" s="88"/>
      <c r="M40" s="88"/>
    </row>
    <row r="41" spans="1:13" ht="47.25" customHeight="1" x14ac:dyDescent="0.25">
      <c r="A41" s="103">
        <v>9</v>
      </c>
      <c r="B41" s="87" t="s">
        <v>435</v>
      </c>
      <c r="C41" s="362">
        <f t="shared" ref="C41" si="18">D41+E41+F41+G41+H41+I41+J41+M41</f>
        <v>2376.79</v>
      </c>
      <c r="D41" s="362"/>
      <c r="E41" s="362">
        <v>2376.79</v>
      </c>
      <c r="F41" s="88"/>
      <c r="G41" s="88"/>
      <c r="H41" s="88"/>
      <c r="I41" s="88"/>
      <c r="J41" s="88">
        <f t="shared" ref="J41" si="19">SUM(K41:L41)</f>
        <v>0</v>
      </c>
      <c r="K41" s="88"/>
      <c r="L41" s="88"/>
      <c r="M41" s="88"/>
    </row>
    <row r="42" spans="1:13" s="18" customFormat="1" ht="24" customHeight="1" x14ac:dyDescent="0.2">
      <c r="A42" s="77" t="s">
        <v>289</v>
      </c>
      <c r="B42" s="78" t="s">
        <v>290</v>
      </c>
      <c r="C42" s="363">
        <f>SUM(C43:C52)</f>
        <v>5652.7730000000001</v>
      </c>
      <c r="D42" s="363">
        <f t="shared" ref="D42:M42" si="20">SUM(D43:D52)</f>
        <v>0</v>
      </c>
      <c r="E42" s="363">
        <f t="shared" si="20"/>
        <v>5652.7730000000001</v>
      </c>
      <c r="F42" s="279">
        <f t="shared" si="20"/>
        <v>0</v>
      </c>
      <c r="G42" s="279">
        <f t="shared" si="20"/>
        <v>0</v>
      </c>
      <c r="H42" s="279">
        <f t="shared" si="20"/>
        <v>0</v>
      </c>
      <c r="I42" s="279">
        <f t="shared" si="20"/>
        <v>0</v>
      </c>
      <c r="J42" s="279">
        <f t="shared" si="20"/>
        <v>0</v>
      </c>
      <c r="K42" s="279">
        <f t="shared" si="20"/>
        <v>0</v>
      </c>
      <c r="L42" s="279">
        <f t="shared" si="20"/>
        <v>0</v>
      </c>
      <c r="M42" s="279">
        <f t="shared" si="20"/>
        <v>0</v>
      </c>
    </row>
    <row r="43" spans="1:13" ht="24" customHeight="1" x14ac:dyDescent="0.25">
      <c r="A43" s="103">
        <v>1</v>
      </c>
      <c r="B43" s="87" t="s">
        <v>291</v>
      </c>
      <c r="C43" s="362">
        <f t="shared" ref="C43:C52" si="21">D43+E43+F43+G43+H43+I43+J43+M43</f>
        <v>1240</v>
      </c>
      <c r="D43" s="362"/>
      <c r="E43" s="362">
        <v>1240</v>
      </c>
      <c r="F43" s="88"/>
      <c r="G43" s="88"/>
      <c r="H43" s="88"/>
      <c r="I43" s="88"/>
      <c r="J43" s="88">
        <f t="shared" ref="J43:J51" si="22">SUM(K43:L43)</f>
        <v>0</v>
      </c>
      <c r="K43" s="88"/>
      <c r="L43" s="88"/>
      <c r="M43" s="88"/>
    </row>
    <row r="44" spans="1:13" ht="24" customHeight="1" x14ac:dyDescent="0.25">
      <c r="A44" s="103">
        <v>2</v>
      </c>
      <c r="B44" s="87" t="s">
        <v>292</v>
      </c>
      <c r="C44" s="362">
        <f t="shared" si="21"/>
        <v>2266.7730000000001</v>
      </c>
      <c r="D44" s="362"/>
      <c r="E44" s="362">
        <v>2266.7730000000001</v>
      </c>
      <c r="F44" s="88"/>
      <c r="G44" s="88"/>
      <c r="H44" s="88"/>
      <c r="I44" s="88"/>
      <c r="J44" s="88">
        <f t="shared" si="22"/>
        <v>0</v>
      </c>
      <c r="K44" s="88"/>
      <c r="L44" s="88"/>
      <c r="M44" s="88"/>
    </row>
    <row r="45" spans="1:13" ht="24" customHeight="1" x14ac:dyDescent="0.25">
      <c r="A45" s="103">
        <v>3</v>
      </c>
      <c r="B45" s="87" t="s">
        <v>293</v>
      </c>
      <c r="C45" s="362">
        <f t="shared" si="21"/>
        <v>50</v>
      </c>
      <c r="D45" s="362"/>
      <c r="E45" s="362">
        <v>50</v>
      </c>
      <c r="F45" s="88"/>
      <c r="G45" s="88"/>
      <c r="H45" s="88"/>
      <c r="I45" s="88"/>
      <c r="J45" s="88">
        <f t="shared" si="22"/>
        <v>0</v>
      </c>
      <c r="K45" s="88"/>
      <c r="L45" s="88"/>
      <c r="M45" s="88"/>
    </row>
    <row r="46" spans="1:13" ht="24" customHeight="1" x14ac:dyDescent="0.25">
      <c r="A46" s="103">
        <v>4</v>
      </c>
      <c r="B46" s="87" t="s">
        <v>294</v>
      </c>
      <c r="C46" s="362">
        <f t="shared" si="21"/>
        <v>30</v>
      </c>
      <c r="D46" s="362"/>
      <c r="E46" s="362">
        <v>30</v>
      </c>
      <c r="F46" s="88"/>
      <c r="G46" s="88"/>
      <c r="H46" s="88"/>
      <c r="I46" s="88"/>
      <c r="J46" s="88">
        <f t="shared" si="22"/>
        <v>0</v>
      </c>
      <c r="K46" s="88"/>
      <c r="L46" s="88"/>
      <c r="M46" s="88"/>
    </row>
    <row r="47" spans="1:13" ht="24" customHeight="1" x14ac:dyDescent="0.25">
      <c r="A47" s="103">
        <v>5</v>
      </c>
      <c r="B47" s="87" t="s">
        <v>295</v>
      </c>
      <c r="C47" s="362">
        <f t="shared" si="21"/>
        <v>50</v>
      </c>
      <c r="D47" s="362"/>
      <c r="E47" s="362">
        <v>50</v>
      </c>
      <c r="F47" s="88"/>
      <c r="G47" s="88"/>
      <c r="H47" s="88"/>
      <c r="I47" s="88"/>
      <c r="J47" s="88">
        <f t="shared" si="22"/>
        <v>0</v>
      </c>
      <c r="K47" s="88"/>
      <c r="L47" s="88"/>
      <c r="M47" s="88"/>
    </row>
    <row r="48" spans="1:13" ht="24" customHeight="1" x14ac:dyDescent="0.25">
      <c r="A48" s="103">
        <v>6</v>
      </c>
      <c r="B48" s="87" t="s">
        <v>300</v>
      </c>
      <c r="C48" s="362">
        <f t="shared" ref="C48:C49" si="23">D48+E48+F48+G48+H48+I48+J48+M48</f>
        <v>370</v>
      </c>
      <c r="D48" s="362"/>
      <c r="E48" s="362">
        <v>370</v>
      </c>
      <c r="F48" s="88"/>
      <c r="G48" s="88"/>
      <c r="H48" s="88"/>
      <c r="I48" s="88"/>
      <c r="J48" s="88">
        <f t="shared" ref="J48:J49" si="24">SUM(K48:L48)</f>
        <v>0</v>
      </c>
      <c r="K48" s="88"/>
      <c r="L48" s="88"/>
      <c r="M48" s="88"/>
    </row>
    <row r="49" spans="1:14" ht="24" customHeight="1" x14ac:dyDescent="0.25">
      <c r="A49" s="103">
        <v>7</v>
      </c>
      <c r="B49" s="87" t="s">
        <v>296</v>
      </c>
      <c r="C49" s="362">
        <f t="shared" si="23"/>
        <v>16</v>
      </c>
      <c r="D49" s="362"/>
      <c r="E49" s="362">
        <v>16</v>
      </c>
      <c r="F49" s="88"/>
      <c r="G49" s="88"/>
      <c r="H49" s="88"/>
      <c r="I49" s="88"/>
      <c r="J49" s="88">
        <f t="shared" si="24"/>
        <v>0</v>
      </c>
      <c r="K49" s="88"/>
      <c r="L49" s="88"/>
      <c r="M49" s="88"/>
    </row>
    <row r="50" spans="1:14" ht="33.75" customHeight="1" x14ac:dyDescent="0.25">
      <c r="A50" s="103">
        <v>8</v>
      </c>
      <c r="B50" s="87" t="s">
        <v>348</v>
      </c>
      <c r="C50" s="362">
        <f t="shared" si="21"/>
        <v>30</v>
      </c>
      <c r="D50" s="362"/>
      <c r="E50" s="362">
        <v>30</v>
      </c>
      <c r="F50" s="88"/>
      <c r="G50" s="88"/>
      <c r="H50" s="88"/>
      <c r="I50" s="88"/>
      <c r="J50" s="88">
        <f t="shared" si="22"/>
        <v>0</v>
      </c>
      <c r="K50" s="88"/>
      <c r="L50" s="88"/>
      <c r="M50" s="88"/>
    </row>
    <row r="51" spans="1:14" ht="24" customHeight="1" x14ac:dyDescent="0.25">
      <c r="A51" s="103">
        <v>9</v>
      </c>
      <c r="B51" s="87" t="s">
        <v>301</v>
      </c>
      <c r="C51" s="362">
        <f t="shared" si="21"/>
        <v>1500</v>
      </c>
      <c r="D51" s="362"/>
      <c r="E51" s="362">
        <v>1500</v>
      </c>
      <c r="F51" s="88"/>
      <c r="G51" s="88"/>
      <c r="H51" s="88"/>
      <c r="I51" s="88"/>
      <c r="J51" s="88">
        <f t="shared" si="22"/>
        <v>0</v>
      </c>
      <c r="K51" s="88"/>
      <c r="L51" s="88"/>
      <c r="M51" s="88"/>
    </row>
    <row r="52" spans="1:14" ht="51" customHeight="1" x14ac:dyDescent="0.25">
      <c r="A52" s="103">
        <v>10</v>
      </c>
      <c r="B52" s="364" t="s">
        <v>399</v>
      </c>
      <c r="C52" s="362">
        <f t="shared" si="21"/>
        <v>100</v>
      </c>
      <c r="D52" s="362"/>
      <c r="E52" s="362">
        <v>100</v>
      </c>
      <c r="F52" s="88"/>
      <c r="G52" s="88"/>
      <c r="H52" s="88"/>
      <c r="I52" s="88"/>
      <c r="J52" s="88">
        <f t="shared" ref="J52" si="25">SUM(K52:L52)</f>
        <v>0</v>
      </c>
      <c r="K52" s="88"/>
      <c r="L52" s="88"/>
      <c r="M52" s="88"/>
    </row>
    <row r="53" spans="1:14" s="18" customFormat="1" ht="24" customHeight="1" x14ac:dyDescent="0.2">
      <c r="A53" s="77" t="s">
        <v>3</v>
      </c>
      <c r="B53" s="78" t="s">
        <v>286</v>
      </c>
      <c r="C53" s="363">
        <f>SUM(C54:C64)</f>
        <v>0</v>
      </c>
      <c r="D53" s="363">
        <f t="shared" ref="D53:M53" si="26">SUM(D54:D64)</f>
        <v>0</v>
      </c>
      <c r="E53" s="363">
        <f t="shared" si="26"/>
        <v>0</v>
      </c>
      <c r="F53" s="279">
        <f t="shared" si="26"/>
        <v>0</v>
      </c>
      <c r="G53" s="279">
        <f t="shared" si="26"/>
        <v>0</v>
      </c>
      <c r="H53" s="279">
        <f t="shared" si="26"/>
        <v>0</v>
      </c>
      <c r="I53" s="279">
        <f t="shared" si="26"/>
        <v>0</v>
      </c>
      <c r="J53" s="279">
        <f t="shared" si="26"/>
        <v>0</v>
      </c>
      <c r="K53" s="279">
        <f t="shared" si="26"/>
        <v>0</v>
      </c>
      <c r="L53" s="279">
        <f t="shared" si="26"/>
        <v>0</v>
      </c>
      <c r="M53" s="279">
        <f t="shared" si="26"/>
        <v>0</v>
      </c>
      <c r="N53" s="67"/>
    </row>
    <row r="54" spans="1:14" ht="24" customHeight="1" x14ac:dyDescent="0.25">
      <c r="A54" s="89" t="s">
        <v>23</v>
      </c>
      <c r="B54" s="87" t="s">
        <v>287</v>
      </c>
      <c r="C54" s="362">
        <f>D54+E54+F54+G54+H54+I54+J54+M54</f>
        <v>0</v>
      </c>
      <c r="D54" s="362"/>
      <c r="E54" s="362"/>
      <c r="F54" s="88"/>
      <c r="G54" s="88"/>
      <c r="H54" s="88"/>
      <c r="I54" s="88"/>
      <c r="J54" s="88">
        <f>SUM(K54:L54)</f>
        <v>0</v>
      </c>
      <c r="K54" s="88"/>
      <c r="L54" s="88"/>
      <c r="M54" s="88"/>
      <c r="N54" s="15"/>
    </row>
    <row r="55" spans="1:14" ht="24" customHeight="1" x14ac:dyDescent="0.25">
      <c r="A55" s="89" t="s">
        <v>23</v>
      </c>
      <c r="B55" s="87" t="s">
        <v>169</v>
      </c>
      <c r="C55" s="362">
        <f t="shared" ref="C55:C67" si="27">D55+E55+F55+G55+H55+I55+J55+M55</f>
        <v>0</v>
      </c>
      <c r="D55" s="362"/>
      <c r="E55" s="362"/>
      <c r="F55" s="88"/>
      <c r="G55" s="88"/>
      <c r="H55" s="88"/>
      <c r="I55" s="88"/>
      <c r="J55" s="88">
        <f t="shared" ref="J55:J64" si="28">SUM(K55:L55)</f>
        <v>0</v>
      </c>
      <c r="K55" s="88"/>
      <c r="L55" s="88"/>
      <c r="M55" s="88"/>
    </row>
    <row r="56" spans="1:14" ht="24" customHeight="1" x14ac:dyDescent="0.25">
      <c r="A56" s="89" t="s">
        <v>23</v>
      </c>
      <c r="B56" s="87" t="s">
        <v>170</v>
      </c>
      <c r="C56" s="362">
        <f t="shared" si="27"/>
        <v>0</v>
      </c>
      <c r="D56" s="362"/>
      <c r="E56" s="362"/>
      <c r="F56" s="88"/>
      <c r="G56" s="88"/>
      <c r="H56" s="88"/>
      <c r="I56" s="88"/>
      <c r="J56" s="88">
        <f t="shared" si="28"/>
        <v>0</v>
      </c>
      <c r="K56" s="88"/>
      <c r="L56" s="88"/>
      <c r="M56" s="88"/>
    </row>
    <row r="57" spans="1:14" ht="24" customHeight="1" x14ac:dyDescent="0.25">
      <c r="A57" s="89" t="s">
        <v>23</v>
      </c>
      <c r="B57" s="87" t="s">
        <v>168</v>
      </c>
      <c r="C57" s="362">
        <f t="shared" si="27"/>
        <v>0</v>
      </c>
      <c r="D57" s="362"/>
      <c r="E57" s="362"/>
      <c r="F57" s="88"/>
      <c r="G57" s="88"/>
      <c r="H57" s="88"/>
      <c r="I57" s="88"/>
      <c r="J57" s="88">
        <f t="shared" si="28"/>
        <v>0</v>
      </c>
      <c r="K57" s="88"/>
      <c r="L57" s="88"/>
      <c r="M57" s="88"/>
    </row>
    <row r="58" spans="1:14" ht="24" customHeight="1" x14ac:dyDescent="0.25">
      <c r="A58" s="89" t="s">
        <v>23</v>
      </c>
      <c r="B58" s="87" t="s">
        <v>171</v>
      </c>
      <c r="C58" s="362">
        <f t="shared" si="27"/>
        <v>0</v>
      </c>
      <c r="D58" s="362"/>
      <c r="E58" s="362"/>
      <c r="F58" s="88"/>
      <c r="G58" s="88"/>
      <c r="H58" s="88"/>
      <c r="I58" s="88"/>
      <c r="J58" s="88">
        <f t="shared" si="28"/>
        <v>0</v>
      </c>
      <c r="K58" s="88"/>
      <c r="L58" s="88"/>
      <c r="M58" s="88"/>
    </row>
    <row r="59" spans="1:14" ht="24" customHeight="1" x14ac:dyDescent="0.25">
      <c r="A59" s="89" t="s">
        <v>23</v>
      </c>
      <c r="B59" s="87" t="s">
        <v>172</v>
      </c>
      <c r="C59" s="362">
        <f t="shared" si="27"/>
        <v>0</v>
      </c>
      <c r="D59" s="362"/>
      <c r="E59" s="362"/>
      <c r="F59" s="88"/>
      <c r="G59" s="88"/>
      <c r="H59" s="88"/>
      <c r="I59" s="88"/>
      <c r="J59" s="88">
        <f t="shared" si="28"/>
        <v>0</v>
      </c>
      <c r="K59" s="88"/>
      <c r="L59" s="88"/>
      <c r="M59" s="88"/>
    </row>
    <row r="60" spans="1:14" ht="24" customHeight="1" x14ac:dyDescent="0.25">
      <c r="A60" s="89" t="s">
        <v>23</v>
      </c>
      <c r="B60" s="87" t="s">
        <v>288</v>
      </c>
      <c r="C60" s="362">
        <f t="shared" si="27"/>
        <v>0</v>
      </c>
      <c r="D60" s="362">
        <v>0</v>
      </c>
      <c r="E60" s="362"/>
      <c r="F60" s="88"/>
      <c r="G60" s="88"/>
      <c r="H60" s="88"/>
      <c r="I60" s="88"/>
      <c r="J60" s="88">
        <f t="shared" si="28"/>
        <v>0</v>
      </c>
      <c r="K60" s="88"/>
      <c r="L60" s="88"/>
      <c r="M60" s="88"/>
    </row>
    <row r="61" spans="1:14" ht="24" customHeight="1" x14ac:dyDescent="0.25">
      <c r="A61" s="89" t="s">
        <v>23</v>
      </c>
      <c r="B61" s="87" t="s">
        <v>173</v>
      </c>
      <c r="C61" s="362">
        <f t="shared" si="27"/>
        <v>0</v>
      </c>
      <c r="D61" s="362"/>
      <c r="E61" s="362"/>
      <c r="F61" s="88"/>
      <c r="G61" s="88"/>
      <c r="H61" s="88"/>
      <c r="I61" s="88"/>
      <c r="J61" s="88">
        <f t="shared" si="28"/>
        <v>0</v>
      </c>
      <c r="K61" s="88"/>
      <c r="L61" s="88"/>
      <c r="M61" s="88"/>
    </row>
    <row r="62" spans="1:14" ht="24" customHeight="1" x14ac:dyDescent="0.25">
      <c r="A62" s="89" t="s">
        <v>23</v>
      </c>
      <c r="B62" s="87" t="s">
        <v>177</v>
      </c>
      <c r="C62" s="362">
        <f t="shared" si="27"/>
        <v>0</v>
      </c>
      <c r="D62" s="362"/>
      <c r="E62" s="362"/>
      <c r="F62" s="88"/>
      <c r="G62" s="88"/>
      <c r="H62" s="88"/>
      <c r="I62" s="88"/>
      <c r="J62" s="88">
        <f t="shared" si="28"/>
        <v>0</v>
      </c>
      <c r="K62" s="88"/>
      <c r="L62" s="88"/>
      <c r="M62" s="88"/>
    </row>
    <row r="63" spans="1:14" ht="24" customHeight="1" x14ac:dyDescent="0.25">
      <c r="A63" s="89" t="s">
        <v>23</v>
      </c>
      <c r="B63" s="87" t="s">
        <v>175</v>
      </c>
      <c r="C63" s="362">
        <f t="shared" si="27"/>
        <v>0</v>
      </c>
      <c r="D63" s="362"/>
      <c r="E63" s="362"/>
      <c r="F63" s="88"/>
      <c r="G63" s="88"/>
      <c r="H63" s="88"/>
      <c r="I63" s="88"/>
      <c r="J63" s="88">
        <f t="shared" si="28"/>
        <v>0</v>
      </c>
      <c r="K63" s="88"/>
      <c r="L63" s="88"/>
      <c r="M63" s="88"/>
    </row>
    <row r="64" spans="1:14" ht="24" customHeight="1" x14ac:dyDescent="0.25">
      <c r="A64" s="89" t="s">
        <v>23</v>
      </c>
      <c r="B64" s="87" t="s">
        <v>176</v>
      </c>
      <c r="C64" s="362">
        <f t="shared" si="27"/>
        <v>0</v>
      </c>
      <c r="D64" s="362"/>
      <c r="E64" s="362"/>
      <c r="F64" s="88"/>
      <c r="G64" s="88"/>
      <c r="H64" s="88"/>
      <c r="I64" s="88"/>
      <c r="J64" s="88">
        <f t="shared" si="28"/>
        <v>0</v>
      </c>
      <c r="K64" s="88"/>
      <c r="L64" s="88"/>
      <c r="M64" s="88"/>
    </row>
    <row r="65" spans="1:13" ht="41.25" customHeight="1" x14ac:dyDescent="0.25">
      <c r="A65" s="77" t="s">
        <v>29</v>
      </c>
      <c r="B65" s="78" t="s">
        <v>303</v>
      </c>
      <c r="C65" s="362">
        <f t="shared" si="27"/>
        <v>0</v>
      </c>
      <c r="D65" s="362"/>
      <c r="E65" s="362"/>
      <c r="F65" s="88"/>
      <c r="G65" s="88"/>
      <c r="H65" s="88"/>
      <c r="I65" s="88"/>
      <c r="J65" s="88">
        <f>SUM(K65:L65)</f>
        <v>0</v>
      </c>
      <c r="K65" s="88"/>
      <c r="L65" s="88"/>
      <c r="M65" s="88"/>
    </row>
    <row r="66" spans="1:13" s="18" customFormat="1" ht="33" customHeight="1" x14ac:dyDescent="0.2">
      <c r="A66" s="77" t="s">
        <v>29</v>
      </c>
      <c r="B66" s="275" t="s">
        <v>105</v>
      </c>
      <c r="C66" s="363">
        <f t="shared" si="27"/>
        <v>5355</v>
      </c>
      <c r="D66" s="363"/>
      <c r="E66" s="363"/>
      <c r="F66" s="279"/>
      <c r="G66" s="279"/>
      <c r="H66" s="279"/>
      <c r="I66" s="279">
        <v>5355</v>
      </c>
      <c r="J66" s="279">
        <f>SUM(K66:L66)</f>
        <v>0</v>
      </c>
      <c r="K66" s="279"/>
      <c r="L66" s="279"/>
      <c r="M66" s="279"/>
    </row>
    <row r="67" spans="1:13" s="18" customFormat="1" ht="24" customHeight="1" x14ac:dyDescent="0.2">
      <c r="A67" s="77" t="s">
        <v>35</v>
      </c>
      <c r="B67" s="78" t="s">
        <v>104</v>
      </c>
      <c r="C67" s="363">
        <f t="shared" si="27"/>
        <v>5849</v>
      </c>
      <c r="D67" s="363"/>
      <c r="E67" s="363"/>
      <c r="F67" s="279"/>
      <c r="G67" s="279"/>
      <c r="H67" s="279">
        <v>5849</v>
      </c>
      <c r="I67" s="279"/>
      <c r="J67" s="279">
        <f>SUM(K67:L67)</f>
        <v>0</v>
      </c>
      <c r="K67" s="279"/>
      <c r="L67" s="279"/>
      <c r="M67" s="279"/>
    </row>
    <row r="68" spans="1:13" s="18" customFormat="1" ht="36.75" customHeight="1" x14ac:dyDescent="0.2">
      <c r="A68" s="77" t="s">
        <v>68</v>
      </c>
      <c r="B68" s="78" t="s">
        <v>305</v>
      </c>
      <c r="C68" s="279">
        <f>SUM(C69:C79)</f>
        <v>59095.779000000002</v>
      </c>
      <c r="D68" s="279">
        <f t="shared" ref="D68:M68" si="29">SUM(D69:D79)</f>
        <v>0</v>
      </c>
      <c r="E68" s="279">
        <f t="shared" si="29"/>
        <v>57881.779000000002</v>
      </c>
      <c r="F68" s="279">
        <f t="shared" si="29"/>
        <v>0</v>
      </c>
      <c r="G68" s="279">
        <f t="shared" si="29"/>
        <v>0</v>
      </c>
      <c r="H68" s="279">
        <f t="shared" si="29"/>
        <v>1214</v>
      </c>
      <c r="I68" s="279">
        <f t="shared" si="29"/>
        <v>0</v>
      </c>
      <c r="J68" s="279">
        <f t="shared" si="29"/>
        <v>0</v>
      </c>
      <c r="K68" s="279">
        <f t="shared" si="29"/>
        <v>0</v>
      </c>
      <c r="L68" s="279">
        <f t="shared" si="29"/>
        <v>0</v>
      </c>
      <c r="M68" s="279">
        <f t="shared" si="29"/>
        <v>0</v>
      </c>
    </row>
    <row r="69" spans="1:13" ht="24" customHeight="1" x14ac:dyDescent="0.25">
      <c r="A69" s="77"/>
      <c r="B69" s="87" t="s">
        <v>287</v>
      </c>
      <c r="C69" s="88">
        <f t="shared" ref="C69:C79" si="30">D69+E69+F69+G69+H69+I69+J69+M69</f>
        <v>4201.1980000000003</v>
      </c>
      <c r="D69" s="88"/>
      <c r="E69" s="365">
        <v>4085.1979999999999</v>
      </c>
      <c r="F69" s="365"/>
      <c r="G69" s="365"/>
      <c r="H69" s="365">
        <v>116</v>
      </c>
      <c r="I69" s="88"/>
      <c r="J69" s="88"/>
      <c r="K69" s="88"/>
      <c r="L69" s="88"/>
      <c r="M69" s="88"/>
    </row>
    <row r="70" spans="1:13" ht="24" customHeight="1" x14ac:dyDescent="0.25">
      <c r="A70" s="77"/>
      <c r="B70" s="87" t="s">
        <v>169</v>
      </c>
      <c r="C70" s="88">
        <f t="shared" si="30"/>
        <v>4266.1899999999996</v>
      </c>
      <c r="D70" s="88"/>
      <c r="E70" s="365">
        <v>4182.1899999999996</v>
      </c>
      <c r="F70" s="365"/>
      <c r="G70" s="365"/>
      <c r="H70" s="365">
        <v>84</v>
      </c>
      <c r="I70" s="88"/>
      <c r="J70" s="88"/>
      <c r="K70" s="88"/>
      <c r="L70" s="88"/>
      <c r="M70" s="88"/>
    </row>
    <row r="71" spans="1:13" ht="24" customHeight="1" x14ac:dyDescent="0.25">
      <c r="A71" s="77"/>
      <c r="B71" s="87" t="s">
        <v>170</v>
      </c>
      <c r="C71" s="88">
        <f t="shared" si="30"/>
        <v>4336.9129999999996</v>
      </c>
      <c r="D71" s="88"/>
      <c r="E71" s="365">
        <v>4250.9129999999996</v>
      </c>
      <c r="F71" s="365"/>
      <c r="G71" s="365"/>
      <c r="H71" s="365">
        <v>86</v>
      </c>
      <c r="I71" s="88"/>
      <c r="J71" s="88"/>
      <c r="K71" s="88"/>
      <c r="L71" s="88"/>
      <c r="M71" s="88"/>
    </row>
    <row r="72" spans="1:13" ht="24" customHeight="1" x14ac:dyDescent="0.25">
      <c r="A72" s="77"/>
      <c r="B72" s="87" t="s">
        <v>168</v>
      </c>
      <c r="C72" s="88">
        <f t="shared" si="30"/>
        <v>4261.2969999999996</v>
      </c>
      <c r="D72" s="88"/>
      <c r="E72" s="365">
        <v>4177.2969999999996</v>
      </c>
      <c r="F72" s="365"/>
      <c r="G72" s="365"/>
      <c r="H72" s="365">
        <v>84</v>
      </c>
      <c r="I72" s="88"/>
      <c r="J72" s="88"/>
      <c r="K72" s="88"/>
      <c r="L72" s="88"/>
      <c r="M72" s="88"/>
    </row>
    <row r="73" spans="1:13" ht="24" customHeight="1" x14ac:dyDescent="0.25">
      <c r="A73" s="77"/>
      <c r="B73" s="87" t="s">
        <v>171</v>
      </c>
      <c r="C73" s="88">
        <f t="shared" si="30"/>
        <v>5420.5659999999998</v>
      </c>
      <c r="D73" s="88"/>
      <c r="E73" s="365">
        <v>5312.5659999999998</v>
      </c>
      <c r="F73" s="365"/>
      <c r="G73" s="365"/>
      <c r="H73" s="365">
        <v>108</v>
      </c>
      <c r="I73" s="88"/>
      <c r="J73" s="88"/>
      <c r="K73" s="88"/>
      <c r="L73" s="88"/>
      <c r="M73" s="88"/>
    </row>
    <row r="74" spans="1:13" ht="24" customHeight="1" x14ac:dyDescent="0.25">
      <c r="A74" s="77"/>
      <c r="B74" s="87" t="s">
        <v>172</v>
      </c>
      <c r="C74" s="88">
        <f t="shared" si="30"/>
        <v>4695.3999999999996</v>
      </c>
      <c r="D74" s="88"/>
      <c r="E74" s="365">
        <v>4602.3999999999996</v>
      </c>
      <c r="F74" s="365"/>
      <c r="G74" s="365"/>
      <c r="H74" s="365">
        <v>93</v>
      </c>
      <c r="I74" s="88"/>
      <c r="J74" s="88"/>
      <c r="K74" s="88"/>
      <c r="L74" s="88"/>
      <c r="M74" s="88"/>
    </row>
    <row r="75" spans="1:13" ht="24" customHeight="1" x14ac:dyDescent="0.25">
      <c r="A75" s="77"/>
      <c r="B75" s="87" t="s">
        <v>288</v>
      </c>
      <c r="C75" s="88">
        <f t="shared" si="30"/>
        <v>4615.9620000000004</v>
      </c>
      <c r="D75" s="88"/>
      <c r="E75" s="365">
        <v>4524.9620000000004</v>
      </c>
      <c r="F75" s="365"/>
      <c r="G75" s="365"/>
      <c r="H75" s="365">
        <v>91</v>
      </c>
      <c r="I75" s="88"/>
      <c r="J75" s="88"/>
      <c r="K75" s="88"/>
      <c r="L75" s="88"/>
      <c r="M75" s="88"/>
    </row>
    <row r="76" spans="1:13" ht="24" customHeight="1" x14ac:dyDescent="0.25">
      <c r="A76" s="77"/>
      <c r="B76" s="87" t="s">
        <v>173</v>
      </c>
      <c r="C76" s="88">
        <f t="shared" si="30"/>
        <v>6714.96</v>
      </c>
      <c r="D76" s="88"/>
      <c r="E76" s="365">
        <v>6582.96</v>
      </c>
      <c r="F76" s="365"/>
      <c r="G76" s="365"/>
      <c r="H76" s="365">
        <v>132</v>
      </c>
      <c r="I76" s="88"/>
      <c r="J76" s="88"/>
      <c r="K76" s="88"/>
      <c r="L76" s="88"/>
      <c r="M76" s="88"/>
    </row>
    <row r="77" spans="1:13" ht="24" customHeight="1" x14ac:dyDescent="0.25">
      <c r="A77" s="77"/>
      <c r="B77" s="87" t="s">
        <v>177</v>
      </c>
      <c r="C77" s="88">
        <f t="shared" si="30"/>
        <v>6889.616</v>
      </c>
      <c r="D77" s="88"/>
      <c r="E77" s="365">
        <v>6753.616</v>
      </c>
      <c r="F77" s="365"/>
      <c r="G77" s="365"/>
      <c r="H77" s="365">
        <v>136</v>
      </c>
      <c r="I77" s="88"/>
      <c r="J77" s="88"/>
      <c r="K77" s="88"/>
      <c r="L77" s="88"/>
      <c r="M77" s="88"/>
    </row>
    <row r="78" spans="1:13" ht="24" customHeight="1" x14ac:dyDescent="0.25">
      <c r="A78" s="77"/>
      <c r="B78" s="87" t="s">
        <v>175</v>
      </c>
      <c r="C78" s="88">
        <f t="shared" si="30"/>
        <v>6521.451</v>
      </c>
      <c r="D78" s="88"/>
      <c r="E78" s="365">
        <v>6392.451</v>
      </c>
      <c r="F78" s="365"/>
      <c r="G78" s="365"/>
      <c r="H78" s="365">
        <v>129</v>
      </c>
      <c r="I78" s="88"/>
      <c r="J78" s="88"/>
      <c r="K78" s="88"/>
      <c r="L78" s="88"/>
      <c r="M78" s="88"/>
    </row>
    <row r="79" spans="1:13" ht="24" customHeight="1" x14ac:dyDescent="0.25">
      <c r="A79" s="77"/>
      <c r="B79" s="87" t="s">
        <v>176</v>
      </c>
      <c r="C79" s="88">
        <f t="shared" si="30"/>
        <v>7172.2259999999997</v>
      </c>
      <c r="D79" s="88"/>
      <c r="E79" s="365">
        <v>7017.2259999999997</v>
      </c>
      <c r="F79" s="365"/>
      <c r="G79" s="365"/>
      <c r="H79" s="365">
        <v>155</v>
      </c>
      <c r="I79" s="88"/>
      <c r="J79" s="88"/>
      <c r="K79" s="88"/>
      <c r="L79" s="88"/>
      <c r="M79" s="88"/>
    </row>
    <row r="80" spans="1:13" s="18" customFormat="1" ht="43.5" customHeight="1" x14ac:dyDescent="0.2">
      <c r="A80" s="366" t="s">
        <v>106</v>
      </c>
      <c r="B80" s="367" t="s">
        <v>107</v>
      </c>
      <c r="C80" s="368">
        <f>D80+E80+F80+G80+J80+M80</f>
        <v>0</v>
      </c>
      <c r="D80" s="368"/>
      <c r="E80" s="369"/>
      <c r="F80" s="369"/>
      <c r="G80" s="369"/>
      <c r="H80" s="369"/>
      <c r="I80" s="368"/>
      <c r="J80" s="368">
        <f>SUM(K80:L80)</f>
        <v>0</v>
      </c>
      <c r="K80" s="368"/>
      <c r="L80" s="368"/>
      <c r="M80" s="368"/>
    </row>
    <row r="81" spans="1:13" x14ac:dyDescent="0.25">
      <c r="A81" s="66"/>
      <c r="B81" s="66"/>
      <c r="C81" s="370"/>
      <c r="D81" s="371"/>
      <c r="E81" s="66"/>
      <c r="F81" s="66"/>
      <c r="G81" s="66"/>
      <c r="H81" s="66"/>
      <c r="I81" s="66"/>
      <c r="J81" s="66"/>
      <c r="K81" s="66"/>
      <c r="L81" s="66"/>
      <c r="M81" s="66"/>
    </row>
    <row r="82" spans="1:13" x14ac:dyDescent="0.25">
      <c r="A82" s="66"/>
      <c r="B82" s="66"/>
      <c r="C82" s="372"/>
      <c r="D82" s="371"/>
      <c r="E82" s="66"/>
      <c r="F82" s="66"/>
      <c r="G82" s="66"/>
      <c r="H82" s="66"/>
      <c r="I82" s="66"/>
      <c r="J82" s="66"/>
      <c r="K82" s="66"/>
      <c r="L82" s="66"/>
      <c r="M82" s="66"/>
    </row>
    <row r="83" spans="1:13" x14ac:dyDescent="0.25">
      <c r="A83" s="66"/>
      <c r="B83" s="66"/>
      <c r="C83" s="66"/>
      <c r="D83" s="371"/>
      <c r="E83" s="66"/>
      <c r="F83" s="66"/>
      <c r="G83" s="66"/>
      <c r="H83" s="66"/>
      <c r="I83" s="66"/>
      <c r="J83" s="66"/>
      <c r="K83" s="66"/>
      <c r="L83" s="66"/>
      <c r="M83" s="66"/>
    </row>
    <row r="84" spans="1:13" x14ac:dyDescent="0.25">
      <c r="A84" s="66"/>
      <c r="B84" s="66"/>
      <c r="C84" s="372"/>
      <c r="D84" s="371"/>
      <c r="E84" s="66"/>
      <c r="F84" s="66"/>
      <c r="G84" s="66"/>
      <c r="H84" s="66"/>
      <c r="I84" s="66"/>
      <c r="J84" s="66"/>
      <c r="K84" s="66"/>
      <c r="L84" s="66"/>
      <c r="M84" s="66"/>
    </row>
    <row r="85" spans="1:13" x14ac:dyDescent="0.25">
      <c r="C85" s="15"/>
    </row>
  </sheetData>
  <mergeCells count="14">
    <mergeCell ref="A2:M2"/>
    <mergeCell ref="L1:M1"/>
    <mergeCell ref="A1:B1"/>
    <mergeCell ref="A4:A5"/>
    <mergeCell ref="B4:B5"/>
    <mergeCell ref="J4:L4"/>
    <mergeCell ref="M4:M5"/>
    <mergeCell ref="I4:I5"/>
    <mergeCell ref="C4:C5"/>
    <mergeCell ref="D4:D5"/>
    <mergeCell ref="E4:E5"/>
    <mergeCell ref="F4:F5"/>
    <mergeCell ref="G4:G5"/>
    <mergeCell ref="H4:H5"/>
  </mergeCells>
  <phoneticPr fontId="16" type="noConversion"/>
  <pageMargins left="0.41" right="0.36" top="0.4" bottom="0.2" header="0.31496062992125984" footer="0.2"/>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22</vt:i4>
      </vt:variant>
    </vt:vector>
  </HeadingPairs>
  <TitlesOfParts>
    <vt:vector size="39" baseType="lpstr">
      <vt:lpstr>BIEU 15</vt:lpstr>
      <vt:lpstr>BIEU 16</vt:lpstr>
      <vt:lpstr>BIEU 17</vt:lpstr>
      <vt:lpstr>BIEU 30</vt:lpstr>
      <vt:lpstr>BIEU 31</vt:lpstr>
      <vt:lpstr>BIEU 32</vt:lpstr>
      <vt:lpstr>BIEU 33b04</vt:lpstr>
      <vt:lpstr>BIEU 34</vt:lpstr>
      <vt:lpstr>BIEU 35</vt:lpstr>
      <vt:lpstr>36</vt:lpstr>
      <vt:lpstr>37</vt:lpstr>
      <vt:lpstr>39</vt:lpstr>
      <vt:lpstr>41</vt:lpstr>
      <vt:lpstr>42</vt:lpstr>
      <vt:lpstr>bieu 45</vt:lpstr>
      <vt:lpstr>Bieu 46</vt:lpstr>
      <vt:lpstr>bieu 47</vt:lpstr>
      <vt:lpstr>'36'!Print_Area</vt:lpstr>
      <vt:lpstr>'37'!Print_Area</vt:lpstr>
      <vt:lpstr>'39'!Print_Area</vt:lpstr>
      <vt:lpstr>'41'!Print_Area</vt:lpstr>
      <vt:lpstr>'42'!Print_Area</vt:lpstr>
      <vt:lpstr>'BIEU 17'!Print_Area</vt:lpstr>
      <vt:lpstr>'BIEU 30'!Print_Area</vt:lpstr>
      <vt:lpstr>'BIEU 31'!Print_Area</vt:lpstr>
      <vt:lpstr>'BIEU 32'!Print_Area</vt:lpstr>
      <vt:lpstr>'BIEU 33b04'!Print_Area</vt:lpstr>
      <vt:lpstr>'BIEU 34'!Print_Area</vt:lpstr>
      <vt:lpstr>'BIEU 35'!Print_Area</vt:lpstr>
      <vt:lpstr>'bieu 45'!Print_Area</vt:lpstr>
      <vt:lpstr>'Bieu 46'!Print_Area</vt:lpstr>
      <vt:lpstr>'bieu 47'!Print_Area</vt:lpstr>
      <vt:lpstr>'37'!Print_Titles</vt:lpstr>
      <vt:lpstr>'41'!Print_Titles</vt:lpstr>
      <vt:lpstr>'BIEU 17'!Print_Titles</vt:lpstr>
      <vt:lpstr>'BIEU 33b04'!Print_Titles</vt:lpstr>
      <vt:lpstr>'BIEU 35'!Print_Titles</vt:lpstr>
      <vt:lpstr>'Bieu 46'!Print_Titles</vt:lpstr>
      <vt:lpstr>'bieu 47'!Print_Titles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HTC</cp:lastModifiedBy>
  <cp:lastPrinted>2021-12-14T14:51:18Z</cp:lastPrinted>
  <dcterms:created xsi:type="dcterms:W3CDTF">2018-12-15T08:38:47Z</dcterms:created>
  <dcterms:modified xsi:type="dcterms:W3CDTF">2021-12-16T13:47:10Z</dcterms:modified>
</cp:coreProperties>
</file>