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120" windowWidth="15600" windowHeight="9285" activeTab="11"/>
  </bookViews>
  <sheets>
    <sheet name="b01" sheetId="16" r:id="rId1"/>
    <sheet name="b02" sheetId="17" r:id="rId2"/>
    <sheet name="29.1" sheetId="6" r:id="rId3"/>
    <sheet name="b31" sheetId="7" r:id="rId4"/>
    <sheet name="32" sheetId="29" r:id="rId5"/>
    <sheet name="Mau 05 UB" sheetId="23" r:id="rId6"/>
    <sheet name="07 SNGD" sheetId="47" r:id="rId7"/>
    <sheet name="08 XA" sheetId="25" r:id="rId8"/>
    <sheet name="01" sheetId="1" state="hidden" r:id="rId9"/>
    <sheet name="02" sheetId="2" state="hidden" r:id="rId10"/>
    <sheet name="Sheet1" sheetId="15" state="hidden" r:id="rId11"/>
    <sheet name="07 THU NSX" sheetId="40" r:id="rId12"/>
  </sheets>
  <externalReferences>
    <externalReference r:id="rId13"/>
    <externalReference r:id="rId14"/>
    <externalReference r:id="rId15"/>
    <externalReference r:id="rId16"/>
    <externalReference r:id="rId17"/>
    <externalReference r:id="rId18"/>
    <externalReference r:id="rId19"/>
    <externalReference r:id="rId20"/>
  </externalReferences>
  <definedNames>
    <definedName name="_">#N/A</definedName>
    <definedName name="_??" localSheetId="5">BlankMacro1</definedName>
    <definedName name="_??">BlankMacro1</definedName>
    <definedName name="_??????1" localSheetId="5">BlankMacro1</definedName>
    <definedName name="_??????1">BlankMacro1</definedName>
    <definedName name="_??????2" localSheetId="5">BlankMacro1</definedName>
    <definedName name="_??????2">BlankMacro1</definedName>
    <definedName name="_??????3" localSheetId="5">BlankMacro1</definedName>
    <definedName name="_??????3">BlankMacro1</definedName>
    <definedName name="_??????4" localSheetId="5">BlankMacro1</definedName>
    <definedName name="_??????4">BlankMacro1</definedName>
    <definedName name="_??????5" localSheetId="5">BlankMacro1</definedName>
    <definedName name="_??????5">BlankMacro1</definedName>
    <definedName name="_??????6" localSheetId="5">BlankMacro1</definedName>
    <definedName name="_??????6">BlankMacro1</definedName>
    <definedName name="_________a1" localSheetId="9" hidden="1">{"'Sheet1'!$L$16"}</definedName>
    <definedName name="_________a1" localSheetId="0" hidden="1">{"'Sheet1'!$L$16"}</definedName>
    <definedName name="_________a1" localSheetId="1" hidden="1">{"'Sheet1'!$L$16"}</definedName>
    <definedName name="_________a1" localSheetId="5" hidden="1">{"'Sheet1'!$L$16"}</definedName>
    <definedName name="_________a1" hidden="1">{"'Sheet1'!$L$16"}</definedName>
    <definedName name="_________PA3" localSheetId="9" hidden="1">{"'Sheet1'!$L$16"}</definedName>
    <definedName name="_________PA3" localSheetId="0" hidden="1">{"'Sheet1'!$L$16"}</definedName>
    <definedName name="_________PA3" localSheetId="1" hidden="1">{"'Sheet1'!$L$16"}</definedName>
    <definedName name="_________PA3" localSheetId="5" hidden="1">{"'Sheet1'!$L$16"}</definedName>
    <definedName name="_________PA3" hidden="1">{"'Sheet1'!$L$16"}</definedName>
    <definedName name="_______a1" localSheetId="9" hidden="1">{"'Sheet1'!$L$16"}</definedName>
    <definedName name="_______a1" localSheetId="0" hidden="1">{"'Sheet1'!$L$16"}</definedName>
    <definedName name="_______a1" localSheetId="1" hidden="1">{"'Sheet1'!$L$16"}</definedName>
    <definedName name="_______a1" localSheetId="5" hidden="1">{"'Sheet1'!$L$16"}</definedName>
    <definedName name="_______a1" hidden="1">{"'Sheet1'!$L$16"}</definedName>
    <definedName name="_______btm10">#REF!</definedName>
    <definedName name="_______btm100">#REF!</definedName>
    <definedName name="_______hom2">#REF!</definedName>
    <definedName name="_______KM188">#REF!</definedName>
    <definedName name="_______km189">#REF!</definedName>
    <definedName name="_______km193">#REF!</definedName>
    <definedName name="_______km194">#REF!</definedName>
    <definedName name="_______km195">#REF!</definedName>
    <definedName name="_______km197">#REF!</definedName>
    <definedName name="_______km198">#REF!</definedName>
    <definedName name="_______NCL100">#REF!</definedName>
    <definedName name="_______NCL200">#REF!</definedName>
    <definedName name="_______NCL250">#REF!</definedName>
    <definedName name="_______nin190">#REF!</definedName>
    <definedName name="_______NSO2" localSheetId="5" hidden="1">{"'Sheet1'!$L$16"}</definedName>
    <definedName name="_______NSO2" hidden="1">{"'Sheet1'!$L$16"}</definedName>
    <definedName name="_______PA3" localSheetId="9" hidden="1">{"'Sheet1'!$L$16"}</definedName>
    <definedName name="_______PA3" localSheetId="0" hidden="1">{"'Sheet1'!$L$16"}</definedName>
    <definedName name="_______PA3" localSheetId="1" hidden="1">{"'Sheet1'!$L$16"}</definedName>
    <definedName name="_______PA3" localSheetId="5" hidden="1">{"'Sheet1'!$L$16"}</definedName>
    <definedName name="_______PA3" hidden="1">{"'Sheet1'!$L$16"}</definedName>
    <definedName name="_______SN3">#REF!</definedName>
    <definedName name="_______sua20">#REF!</definedName>
    <definedName name="_______sua30">#REF!</definedName>
    <definedName name="_______TB1">#REF!</definedName>
    <definedName name="_______TL3">#REF!</definedName>
    <definedName name="_______VL100">#REF!</definedName>
    <definedName name="_______VL250">#REF!</definedName>
    <definedName name="______a1" localSheetId="9" hidden="1">{"'Sheet1'!$L$16"}</definedName>
    <definedName name="______a1" localSheetId="0" hidden="1">{"'Sheet1'!$L$16"}</definedName>
    <definedName name="______a1" localSheetId="1" hidden="1">{"'Sheet1'!$L$16"}</definedName>
    <definedName name="______a1" localSheetId="5" hidden="1">{"'Sheet1'!$L$16"}</definedName>
    <definedName name="______a1" hidden="1">{"'Sheet1'!$L$16"}</definedName>
    <definedName name="______boi1">#REF!</definedName>
    <definedName name="______boi2">#REF!</definedName>
    <definedName name="______boi3">#REF!</definedName>
    <definedName name="______boi4">#REF!</definedName>
    <definedName name="______btm10">#REF!</definedName>
    <definedName name="______btm100">#REF!</definedName>
    <definedName name="______BTM250">#REF!</definedName>
    <definedName name="______btM300">#REF!</definedName>
    <definedName name="______cao1">#REF!</definedName>
    <definedName name="______cao2">#REF!</definedName>
    <definedName name="______cao3">#REF!</definedName>
    <definedName name="______cao4">#REF!</definedName>
    <definedName name="______cao5">#REF!</definedName>
    <definedName name="______cao6">#REF!</definedName>
    <definedName name="______CON1">#REF!</definedName>
    <definedName name="______CON2">#REF!</definedName>
    <definedName name="______dai1">#REF!</definedName>
    <definedName name="______dai2">#REF!</definedName>
    <definedName name="______dai3">#REF!</definedName>
    <definedName name="______dai4">#REF!</definedName>
    <definedName name="______dai5">#REF!</definedName>
    <definedName name="______dai6">#REF!</definedName>
    <definedName name="______dan1">#REF!</definedName>
    <definedName name="______dan2">#REF!</definedName>
    <definedName name="______ddn400">#REF!</definedName>
    <definedName name="______ddn600">#REF!</definedName>
    <definedName name="______gon4">#REF!</definedName>
    <definedName name="______h1" localSheetId="9" hidden="1">{"'Sheet1'!$L$16"}</definedName>
    <definedName name="______h1" localSheetId="0" hidden="1">{"'Sheet1'!$L$16"}</definedName>
    <definedName name="______h1" localSheetId="1" hidden="1">{"'Sheet1'!$L$16"}</definedName>
    <definedName name="______h1" localSheetId="5" hidden="1">{"'Sheet1'!$L$16"}</definedName>
    <definedName name="______h1" hidden="1">{"'Sheet1'!$L$16"}</definedName>
    <definedName name="______h10" localSheetId="9" hidden="1">{#N/A,#N/A,FALSE,"Chi tiÆt"}</definedName>
    <definedName name="______h10" localSheetId="0" hidden="1">{#N/A,#N/A,FALSE,"Chi tiÆt"}</definedName>
    <definedName name="______h10" localSheetId="1" hidden="1">{#N/A,#N/A,FALSE,"Chi tiÆt"}</definedName>
    <definedName name="______h10" localSheetId="5" hidden="1">{#N/A,#N/A,FALSE,"Chi tiÆt"}</definedName>
    <definedName name="______h10" hidden="1">{#N/A,#N/A,FALSE,"Chi tiÆt"}</definedName>
    <definedName name="______h2" localSheetId="9" hidden="1">{"'Sheet1'!$L$16"}</definedName>
    <definedName name="______h2" localSheetId="0" hidden="1">{"'Sheet1'!$L$16"}</definedName>
    <definedName name="______h2" localSheetId="1" hidden="1">{"'Sheet1'!$L$16"}</definedName>
    <definedName name="______h2" localSheetId="5" hidden="1">{"'Sheet1'!$L$16"}</definedName>
    <definedName name="______h2" hidden="1">{"'Sheet1'!$L$16"}</definedName>
    <definedName name="______h3" localSheetId="9" hidden="1">{"'Sheet1'!$L$16"}</definedName>
    <definedName name="______h3" localSheetId="0" hidden="1">{"'Sheet1'!$L$16"}</definedName>
    <definedName name="______h3" localSheetId="1" hidden="1">{"'Sheet1'!$L$16"}</definedName>
    <definedName name="______h3" localSheetId="5" hidden="1">{"'Sheet1'!$L$16"}</definedName>
    <definedName name="______h3" hidden="1">{"'Sheet1'!$L$16"}</definedName>
    <definedName name="______h5" localSheetId="9" hidden="1">{"'Sheet1'!$L$16"}</definedName>
    <definedName name="______h5" localSheetId="0" hidden="1">{"'Sheet1'!$L$16"}</definedName>
    <definedName name="______h5" localSheetId="1" hidden="1">{"'Sheet1'!$L$16"}</definedName>
    <definedName name="______h5" localSheetId="5" hidden="1">{"'Sheet1'!$L$16"}</definedName>
    <definedName name="______h5" hidden="1">{"'Sheet1'!$L$16"}</definedName>
    <definedName name="______h6" localSheetId="9" hidden="1">{"'Sheet1'!$L$16"}</definedName>
    <definedName name="______h6" localSheetId="0" hidden="1">{"'Sheet1'!$L$16"}</definedName>
    <definedName name="______h6" localSheetId="1" hidden="1">{"'Sheet1'!$L$16"}</definedName>
    <definedName name="______h6" localSheetId="5" hidden="1">{"'Sheet1'!$L$16"}</definedName>
    <definedName name="______h6" hidden="1">{"'Sheet1'!$L$16"}</definedName>
    <definedName name="______h7" localSheetId="9" hidden="1">{"'Sheet1'!$L$16"}</definedName>
    <definedName name="______h7" localSheetId="0" hidden="1">{"'Sheet1'!$L$16"}</definedName>
    <definedName name="______h7" localSheetId="1" hidden="1">{"'Sheet1'!$L$16"}</definedName>
    <definedName name="______h7" localSheetId="5" hidden="1">{"'Sheet1'!$L$16"}</definedName>
    <definedName name="______h7" hidden="1">{"'Sheet1'!$L$16"}</definedName>
    <definedName name="______h8" localSheetId="9" hidden="1">{"'Sheet1'!$L$16"}</definedName>
    <definedName name="______h8" localSheetId="0" hidden="1">{"'Sheet1'!$L$16"}</definedName>
    <definedName name="______h8" localSheetId="1" hidden="1">{"'Sheet1'!$L$16"}</definedName>
    <definedName name="______h8" localSheetId="5" hidden="1">{"'Sheet1'!$L$16"}</definedName>
    <definedName name="______h8" hidden="1">{"'Sheet1'!$L$16"}</definedName>
    <definedName name="______h9" localSheetId="9" hidden="1">{"'Sheet1'!$L$16"}</definedName>
    <definedName name="______h9" localSheetId="0" hidden="1">{"'Sheet1'!$L$16"}</definedName>
    <definedName name="______h9" localSheetId="1" hidden="1">{"'Sheet1'!$L$16"}</definedName>
    <definedName name="______h9" localSheetId="5" hidden="1">{"'Sheet1'!$L$16"}</definedName>
    <definedName name="______h9" hidden="1">{"'Sheet1'!$L$16"}</definedName>
    <definedName name="______hom2">#REF!</definedName>
    <definedName name="______KM188">#REF!</definedName>
    <definedName name="______km189">#REF!</definedName>
    <definedName name="______km190">#REF!</definedName>
    <definedName name="______km191">#REF!</definedName>
    <definedName name="______km192">#REF!</definedName>
    <definedName name="______km193">#REF!</definedName>
    <definedName name="______km194">#REF!</definedName>
    <definedName name="______km195">#REF!</definedName>
    <definedName name="______km196">#REF!</definedName>
    <definedName name="______km197">#REF!</definedName>
    <definedName name="______km198">#REF!</definedName>
    <definedName name="______lap1">#REF!</definedName>
    <definedName name="______lap2">#REF!</definedName>
    <definedName name="______MAC12">#REF!</definedName>
    <definedName name="______MAC46">#REF!</definedName>
    <definedName name="______NCL100">#REF!</definedName>
    <definedName name="______NCL200">#REF!</definedName>
    <definedName name="______NCL250">#REF!</definedName>
    <definedName name="______NET2">#REF!</definedName>
    <definedName name="______nin190">#REF!</definedName>
    <definedName name="______NSO2" localSheetId="9" hidden="1">{"'Sheet1'!$L$16"}</definedName>
    <definedName name="______NSO2" localSheetId="0" hidden="1">{"'Sheet1'!$L$16"}</definedName>
    <definedName name="______NSO2" localSheetId="1" hidden="1">{"'Sheet1'!$L$16"}</definedName>
    <definedName name="______NSO2" localSheetId="5" hidden="1">{"'Sheet1'!$L$16"}</definedName>
    <definedName name="______NSO2" hidden="1">{"'Sheet1'!$L$16"}</definedName>
    <definedName name="______PA3" localSheetId="9" hidden="1">{"'Sheet1'!$L$16"}</definedName>
    <definedName name="______PA3" localSheetId="0" hidden="1">{"'Sheet1'!$L$16"}</definedName>
    <definedName name="______PA3" localSheetId="1" hidden="1">{"'Sheet1'!$L$16"}</definedName>
    <definedName name="______PA3" localSheetId="5" hidden="1">{"'Sheet1'!$L$16"}</definedName>
    <definedName name="______PA3" hidden="1">{"'Sheet1'!$L$16"}</definedName>
    <definedName name="______phi10">#REF!</definedName>
    <definedName name="______phi12">#REF!</definedName>
    <definedName name="______phi14">#REF!</definedName>
    <definedName name="______phi16">#REF!</definedName>
    <definedName name="______phi18">#REF!</definedName>
    <definedName name="______phi20">#REF!</definedName>
    <definedName name="______phi22">#REF!</definedName>
    <definedName name="______phi25">#REF!</definedName>
    <definedName name="______phi28">#REF!</definedName>
    <definedName name="______phi6">#REF!</definedName>
    <definedName name="______phi8">#REF!</definedName>
    <definedName name="______PL1242">#REF!</definedName>
    <definedName name="______sat10">#REF!</definedName>
    <definedName name="______sat14">#REF!</definedName>
    <definedName name="______sat16">#REF!</definedName>
    <definedName name="______sat20">#REF!</definedName>
    <definedName name="______sat8">#REF!</definedName>
    <definedName name="______sc1">#REF!</definedName>
    <definedName name="______SC2">#REF!</definedName>
    <definedName name="______sc3">#REF!</definedName>
    <definedName name="______slg1">#REF!</definedName>
    <definedName name="______slg2">#REF!</definedName>
    <definedName name="______slg3">#REF!</definedName>
    <definedName name="______slg4">#REF!</definedName>
    <definedName name="______slg5">#REF!</definedName>
    <definedName name="______slg6">#REF!</definedName>
    <definedName name="______SN3">#REF!</definedName>
    <definedName name="______sua20">#REF!</definedName>
    <definedName name="______sua30">#REF!</definedName>
    <definedName name="______TB1">#REF!</definedName>
    <definedName name="______TH1">#REF!</definedName>
    <definedName name="______TH2">#REF!</definedName>
    <definedName name="______TH3">#REF!</definedName>
    <definedName name="______TK155">#REF!</definedName>
    <definedName name="______TK422">#REF!</definedName>
    <definedName name="______TL1">#REF!</definedName>
    <definedName name="______TL2">#REF!</definedName>
    <definedName name="______TL3">#REF!</definedName>
    <definedName name="______TLA120">#REF!</definedName>
    <definedName name="______TLA35">#REF!</definedName>
    <definedName name="______TLA50">#REF!</definedName>
    <definedName name="______TLA70">#REF!</definedName>
    <definedName name="______TLA95">#REF!</definedName>
    <definedName name="______VL100">#REF!</definedName>
    <definedName name="______vl2" localSheetId="9" hidden="1">{"'Sheet1'!$L$16"}</definedName>
    <definedName name="______vl2" localSheetId="0" hidden="1">{"'Sheet1'!$L$16"}</definedName>
    <definedName name="______vl2" localSheetId="1" hidden="1">{"'Sheet1'!$L$16"}</definedName>
    <definedName name="______vl2" localSheetId="5" hidden="1">{"'Sheet1'!$L$16"}</definedName>
    <definedName name="______vl2" hidden="1">{"'Sheet1'!$L$16"}</definedName>
    <definedName name="______VL250">#REF!</definedName>
    <definedName name="_____a1" localSheetId="9" hidden="1">{"'Sheet1'!$L$16"}</definedName>
    <definedName name="_____a1" localSheetId="0" hidden="1">{"'Sheet1'!$L$16"}</definedName>
    <definedName name="_____a1" localSheetId="1" hidden="1">{"'Sheet1'!$L$16"}</definedName>
    <definedName name="_____a1" localSheetId="5" hidden="1">{"'Sheet1'!$L$16"}</definedName>
    <definedName name="_____a1" hidden="1">{"'Sheet1'!$L$16"}</definedName>
    <definedName name="_____boi1">#REF!</definedName>
    <definedName name="_____boi2">#REF!</definedName>
    <definedName name="_____boi3">#REF!</definedName>
    <definedName name="_____boi4">#REF!</definedName>
    <definedName name="_____BTM250">#REF!</definedName>
    <definedName name="_____btM300">#REF!</definedName>
    <definedName name="_____cao1">#REF!</definedName>
    <definedName name="_____cao2">#REF!</definedName>
    <definedName name="_____cao3">#REF!</definedName>
    <definedName name="_____cao4">#REF!</definedName>
    <definedName name="_____cao5">#REF!</definedName>
    <definedName name="_____cao6">#REF!</definedName>
    <definedName name="_____CON1">#REF!</definedName>
    <definedName name="_____CON2">#REF!</definedName>
    <definedName name="_____dai1">#REF!</definedName>
    <definedName name="_____dai2">#REF!</definedName>
    <definedName name="_____dai3">#REF!</definedName>
    <definedName name="_____dai4">#REF!</definedName>
    <definedName name="_____dai5">#REF!</definedName>
    <definedName name="_____dai6">#REF!</definedName>
    <definedName name="_____dan1">#REF!</definedName>
    <definedName name="_____dan2">#REF!</definedName>
    <definedName name="_____ddn400">#REF!</definedName>
    <definedName name="_____ddn600">#REF!</definedName>
    <definedName name="_____gon4">#REF!</definedName>
    <definedName name="_____h1" localSheetId="9" hidden="1">{"'Sheet1'!$L$16"}</definedName>
    <definedName name="_____h1" localSheetId="0" hidden="1">{"'Sheet1'!$L$16"}</definedName>
    <definedName name="_____h1" localSheetId="1" hidden="1">{"'Sheet1'!$L$16"}</definedName>
    <definedName name="_____h1" localSheetId="5" hidden="1">{"'Sheet1'!$L$16"}</definedName>
    <definedName name="_____h1" hidden="1">{"'Sheet1'!$L$16"}</definedName>
    <definedName name="_____h10" localSheetId="9" hidden="1">{#N/A,#N/A,FALSE,"Chi tiÆt"}</definedName>
    <definedName name="_____h10" localSheetId="0" hidden="1">{#N/A,#N/A,FALSE,"Chi tiÆt"}</definedName>
    <definedName name="_____h10" localSheetId="1" hidden="1">{#N/A,#N/A,FALSE,"Chi tiÆt"}</definedName>
    <definedName name="_____h10" localSheetId="5" hidden="1">{#N/A,#N/A,FALSE,"Chi tiÆt"}</definedName>
    <definedName name="_____h10" hidden="1">{#N/A,#N/A,FALSE,"Chi tiÆt"}</definedName>
    <definedName name="_____h2" localSheetId="9" hidden="1">{"'Sheet1'!$L$16"}</definedName>
    <definedName name="_____h2" localSheetId="0" hidden="1">{"'Sheet1'!$L$16"}</definedName>
    <definedName name="_____h2" localSheetId="1" hidden="1">{"'Sheet1'!$L$16"}</definedName>
    <definedName name="_____h2" localSheetId="5" hidden="1">{"'Sheet1'!$L$16"}</definedName>
    <definedName name="_____h2" hidden="1">{"'Sheet1'!$L$16"}</definedName>
    <definedName name="_____h3" localSheetId="9" hidden="1">{"'Sheet1'!$L$16"}</definedName>
    <definedName name="_____h3" localSheetId="0" hidden="1">{"'Sheet1'!$L$16"}</definedName>
    <definedName name="_____h3" localSheetId="1" hidden="1">{"'Sheet1'!$L$16"}</definedName>
    <definedName name="_____h3" localSheetId="5" hidden="1">{"'Sheet1'!$L$16"}</definedName>
    <definedName name="_____h3" hidden="1">{"'Sheet1'!$L$16"}</definedName>
    <definedName name="_____h5" localSheetId="9" hidden="1">{"'Sheet1'!$L$16"}</definedName>
    <definedName name="_____h5" localSheetId="0" hidden="1">{"'Sheet1'!$L$16"}</definedName>
    <definedName name="_____h5" localSheetId="1" hidden="1">{"'Sheet1'!$L$16"}</definedName>
    <definedName name="_____h5" localSheetId="5" hidden="1">{"'Sheet1'!$L$16"}</definedName>
    <definedName name="_____h5" hidden="1">{"'Sheet1'!$L$16"}</definedName>
    <definedName name="_____h6" localSheetId="9" hidden="1">{"'Sheet1'!$L$16"}</definedName>
    <definedName name="_____h6" localSheetId="0" hidden="1">{"'Sheet1'!$L$16"}</definedName>
    <definedName name="_____h6" localSheetId="1" hidden="1">{"'Sheet1'!$L$16"}</definedName>
    <definedName name="_____h6" localSheetId="5" hidden="1">{"'Sheet1'!$L$16"}</definedName>
    <definedName name="_____h6" hidden="1">{"'Sheet1'!$L$16"}</definedName>
    <definedName name="_____h7" localSheetId="9" hidden="1">{"'Sheet1'!$L$16"}</definedName>
    <definedName name="_____h7" localSheetId="0" hidden="1">{"'Sheet1'!$L$16"}</definedName>
    <definedName name="_____h7" localSheetId="1" hidden="1">{"'Sheet1'!$L$16"}</definedName>
    <definedName name="_____h7" localSheetId="5" hidden="1">{"'Sheet1'!$L$16"}</definedName>
    <definedName name="_____h7" hidden="1">{"'Sheet1'!$L$16"}</definedName>
    <definedName name="_____h8" localSheetId="9" hidden="1">{"'Sheet1'!$L$16"}</definedName>
    <definedName name="_____h8" localSheetId="0" hidden="1">{"'Sheet1'!$L$16"}</definedName>
    <definedName name="_____h8" localSheetId="1" hidden="1">{"'Sheet1'!$L$16"}</definedName>
    <definedName name="_____h8" localSheetId="5" hidden="1">{"'Sheet1'!$L$16"}</definedName>
    <definedName name="_____h8" hidden="1">{"'Sheet1'!$L$16"}</definedName>
    <definedName name="_____h9" localSheetId="9" hidden="1">{"'Sheet1'!$L$16"}</definedName>
    <definedName name="_____h9" localSheetId="0" hidden="1">{"'Sheet1'!$L$16"}</definedName>
    <definedName name="_____h9" localSheetId="1" hidden="1">{"'Sheet1'!$L$16"}</definedName>
    <definedName name="_____h9" localSheetId="5" hidden="1">{"'Sheet1'!$L$16"}</definedName>
    <definedName name="_____h9" hidden="1">{"'Sheet1'!$L$16"}</definedName>
    <definedName name="_____km190">#REF!</definedName>
    <definedName name="_____km191">#REF!</definedName>
    <definedName name="_____km192">#REF!</definedName>
    <definedName name="_____km196">#REF!</definedName>
    <definedName name="_____lap1">#REF!</definedName>
    <definedName name="_____lap2">#REF!</definedName>
    <definedName name="_____MAC12">#REF!</definedName>
    <definedName name="_____MAC46">#REF!</definedName>
    <definedName name="_____NET2">#REF!</definedName>
    <definedName name="_____NSO2" localSheetId="9" hidden="1">{"'Sheet1'!$L$16"}</definedName>
    <definedName name="_____NSO2" localSheetId="0" hidden="1">{"'Sheet1'!$L$16"}</definedName>
    <definedName name="_____NSO2" localSheetId="1" hidden="1">{"'Sheet1'!$L$16"}</definedName>
    <definedName name="_____NSO2" localSheetId="5" hidden="1">{"'Sheet1'!$L$16"}</definedName>
    <definedName name="_____NSO2" hidden="1">{"'Sheet1'!$L$16"}</definedName>
    <definedName name="_____PA3" localSheetId="9" hidden="1">{"'Sheet1'!$L$16"}</definedName>
    <definedName name="_____PA3" localSheetId="0" hidden="1">{"'Sheet1'!$L$16"}</definedName>
    <definedName name="_____PA3" localSheetId="1" hidden="1">{"'Sheet1'!$L$16"}</definedName>
    <definedName name="_____PA3" localSheetId="5" hidden="1">{"'Sheet1'!$L$16"}</definedName>
    <definedName name="_____PA3" hidden="1">{"'Sheet1'!$L$16"}</definedName>
    <definedName name="_____phi10">#REF!</definedName>
    <definedName name="_____phi12">#REF!</definedName>
    <definedName name="_____phi14">#REF!</definedName>
    <definedName name="_____phi16">#REF!</definedName>
    <definedName name="_____phi18">#REF!</definedName>
    <definedName name="_____phi20">#REF!</definedName>
    <definedName name="_____phi22">#REF!</definedName>
    <definedName name="_____phi25">#REF!</definedName>
    <definedName name="_____phi28">#REF!</definedName>
    <definedName name="_____phi6">#REF!</definedName>
    <definedName name="_____phi8">#REF!</definedName>
    <definedName name="_____PL1242">#REF!</definedName>
    <definedName name="_____sat10">#REF!</definedName>
    <definedName name="_____sat14">#REF!</definedName>
    <definedName name="_____sat16">#REF!</definedName>
    <definedName name="_____sat20">#REF!</definedName>
    <definedName name="_____sat8">#REF!</definedName>
    <definedName name="_____sc1">#REF!</definedName>
    <definedName name="_____SC2">#REF!</definedName>
    <definedName name="_____sc3">#REF!</definedName>
    <definedName name="_____slg1">#REF!</definedName>
    <definedName name="_____slg2">#REF!</definedName>
    <definedName name="_____slg3">#REF!</definedName>
    <definedName name="_____slg4">#REF!</definedName>
    <definedName name="_____slg5">#REF!</definedName>
    <definedName name="_____slg6">#REF!</definedName>
    <definedName name="_____TH1">#REF!</definedName>
    <definedName name="_____TH2">#REF!</definedName>
    <definedName name="_____TH3">#REF!</definedName>
    <definedName name="_____TK155">#REF!</definedName>
    <definedName name="_____TK422">#REF!</definedName>
    <definedName name="_____TL1">#REF!</definedName>
    <definedName name="_____TL2">#REF!</definedName>
    <definedName name="_____TLA120">#REF!</definedName>
    <definedName name="_____TLA35">#REF!</definedName>
    <definedName name="_____TLA50">#REF!</definedName>
    <definedName name="_____TLA70">#REF!</definedName>
    <definedName name="_____TLA95">#REF!</definedName>
    <definedName name="_____vl2" localSheetId="9" hidden="1">{"'Sheet1'!$L$16"}</definedName>
    <definedName name="_____vl2" localSheetId="0" hidden="1">{"'Sheet1'!$L$16"}</definedName>
    <definedName name="_____vl2" localSheetId="1" hidden="1">{"'Sheet1'!$L$16"}</definedName>
    <definedName name="_____vl2" localSheetId="5" hidden="1">{"'Sheet1'!$L$16"}</definedName>
    <definedName name="_____vl2" hidden="1">{"'Sheet1'!$L$16"}</definedName>
    <definedName name="____boi1">#REF!</definedName>
    <definedName name="____boi2">#REF!</definedName>
    <definedName name="____boi3">#REF!</definedName>
    <definedName name="____boi4">#REF!</definedName>
    <definedName name="____btm10">#REF!</definedName>
    <definedName name="____btm100">#REF!</definedName>
    <definedName name="____BTM250">#REF!</definedName>
    <definedName name="____btM300">#REF!</definedName>
    <definedName name="____cao1">#REF!</definedName>
    <definedName name="____cao2">#REF!</definedName>
    <definedName name="____cao3">#REF!</definedName>
    <definedName name="____cao4">#REF!</definedName>
    <definedName name="____cao5">#REF!</definedName>
    <definedName name="____cao6">#REF!</definedName>
    <definedName name="____CON1">#REF!</definedName>
    <definedName name="____CON2">#REF!</definedName>
    <definedName name="____dai1">#REF!</definedName>
    <definedName name="____dai2">#REF!</definedName>
    <definedName name="____dai3">#REF!</definedName>
    <definedName name="____dai4">#REF!</definedName>
    <definedName name="____dai5">#REF!</definedName>
    <definedName name="____dai6">#REF!</definedName>
    <definedName name="____dan1">#REF!</definedName>
    <definedName name="____dan2">#REF!</definedName>
    <definedName name="____ddn400">#REF!</definedName>
    <definedName name="____ddn600">#REF!</definedName>
    <definedName name="____gon4">#REF!</definedName>
    <definedName name="____h1" localSheetId="9" hidden="1">{"'Sheet1'!$L$16"}</definedName>
    <definedName name="____h1" localSheetId="0" hidden="1">{"'Sheet1'!$L$16"}</definedName>
    <definedName name="____h1" localSheetId="1" hidden="1">{"'Sheet1'!$L$16"}</definedName>
    <definedName name="____h1" localSheetId="5" hidden="1">{"'Sheet1'!$L$16"}</definedName>
    <definedName name="____h1" hidden="1">{"'Sheet1'!$L$16"}</definedName>
    <definedName name="____h10" localSheetId="9" hidden="1">{#N/A,#N/A,FALSE,"Chi tiÆt"}</definedName>
    <definedName name="____h10" localSheetId="0" hidden="1">{#N/A,#N/A,FALSE,"Chi tiÆt"}</definedName>
    <definedName name="____h10" localSheetId="1" hidden="1">{#N/A,#N/A,FALSE,"Chi tiÆt"}</definedName>
    <definedName name="____h10" localSheetId="5" hidden="1">{#N/A,#N/A,FALSE,"Chi tiÆt"}</definedName>
    <definedName name="____h10" hidden="1">{#N/A,#N/A,FALSE,"Chi tiÆt"}</definedName>
    <definedName name="____h2" localSheetId="9" hidden="1">{"'Sheet1'!$L$16"}</definedName>
    <definedName name="____h2" localSheetId="0" hidden="1">{"'Sheet1'!$L$16"}</definedName>
    <definedName name="____h2" localSheetId="1" hidden="1">{"'Sheet1'!$L$16"}</definedName>
    <definedName name="____h2" localSheetId="5" hidden="1">{"'Sheet1'!$L$16"}</definedName>
    <definedName name="____h2" hidden="1">{"'Sheet1'!$L$16"}</definedName>
    <definedName name="____h3" localSheetId="9" hidden="1">{"'Sheet1'!$L$16"}</definedName>
    <definedName name="____h3" localSheetId="0" hidden="1">{"'Sheet1'!$L$16"}</definedName>
    <definedName name="____h3" localSheetId="1" hidden="1">{"'Sheet1'!$L$16"}</definedName>
    <definedName name="____h3" localSheetId="5" hidden="1">{"'Sheet1'!$L$16"}</definedName>
    <definedName name="____h3" hidden="1">{"'Sheet1'!$L$16"}</definedName>
    <definedName name="____h5" localSheetId="9" hidden="1">{"'Sheet1'!$L$16"}</definedName>
    <definedName name="____h5" localSheetId="0" hidden="1">{"'Sheet1'!$L$16"}</definedName>
    <definedName name="____h5" localSheetId="1" hidden="1">{"'Sheet1'!$L$16"}</definedName>
    <definedName name="____h5" localSheetId="5" hidden="1">{"'Sheet1'!$L$16"}</definedName>
    <definedName name="____h5" hidden="1">{"'Sheet1'!$L$16"}</definedName>
    <definedName name="____h6" localSheetId="9" hidden="1">{"'Sheet1'!$L$16"}</definedName>
    <definedName name="____h6" localSheetId="0" hidden="1">{"'Sheet1'!$L$16"}</definedName>
    <definedName name="____h6" localSheetId="1" hidden="1">{"'Sheet1'!$L$16"}</definedName>
    <definedName name="____h6" localSheetId="5" hidden="1">{"'Sheet1'!$L$16"}</definedName>
    <definedName name="____h6" hidden="1">{"'Sheet1'!$L$16"}</definedName>
    <definedName name="____h7" localSheetId="9" hidden="1">{"'Sheet1'!$L$16"}</definedName>
    <definedName name="____h7" localSheetId="0" hidden="1">{"'Sheet1'!$L$16"}</definedName>
    <definedName name="____h7" localSheetId="1" hidden="1">{"'Sheet1'!$L$16"}</definedName>
    <definedName name="____h7" localSheetId="5" hidden="1">{"'Sheet1'!$L$16"}</definedName>
    <definedName name="____h7" hidden="1">{"'Sheet1'!$L$16"}</definedName>
    <definedName name="____h8" localSheetId="9" hidden="1">{"'Sheet1'!$L$16"}</definedName>
    <definedName name="____h8" localSheetId="0" hidden="1">{"'Sheet1'!$L$16"}</definedName>
    <definedName name="____h8" localSheetId="1" hidden="1">{"'Sheet1'!$L$16"}</definedName>
    <definedName name="____h8" localSheetId="5" hidden="1">{"'Sheet1'!$L$16"}</definedName>
    <definedName name="____h8" hidden="1">{"'Sheet1'!$L$16"}</definedName>
    <definedName name="____h9" localSheetId="9" hidden="1">{"'Sheet1'!$L$16"}</definedName>
    <definedName name="____h9" localSheetId="0" hidden="1">{"'Sheet1'!$L$16"}</definedName>
    <definedName name="____h9" localSheetId="1" hidden="1">{"'Sheet1'!$L$16"}</definedName>
    <definedName name="____h9" localSheetId="5" hidden="1">{"'Sheet1'!$L$16"}</definedName>
    <definedName name="____h9" hidden="1">{"'Sheet1'!$L$16"}</definedName>
    <definedName name="____hom2">#REF!</definedName>
    <definedName name="____KM188">#REF!</definedName>
    <definedName name="____km189">#REF!</definedName>
    <definedName name="____km190">#REF!</definedName>
    <definedName name="____km191">#REF!</definedName>
    <definedName name="____km192">#REF!</definedName>
    <definedName name="____km193">#REF!</definedName>
    <definedName name="____km194">#REF!</definedName>
    <definedName name="____km195">#REF!</definedName>
    <definedName name="____km197">#REF!</definedName>
    <definedName name="____km198">#REF!</definedName>
    <definedName name="____lap1">#REF!</definedName>
    <definedName name="____lap2">#REF!</definedName>
    <definedName name="____MAC12">#REF!</definedName>
    <definedName name="____MAC46">#REF!</definedName>
    <definedName name="____NCL100">#REF!</definedName>
    <definedName name="____NCL200">#REF!</definedName>
    <definedName name="____NCL250">#REF!</definedName>
    <definedName name="____NET2">#REF!</definedName>
    <definedName name="____nin190">#REF!</definedName>
    <definedName name="____NSO2" localSheetId="9" hidden="1">{"'Sheet1'!$L$16"}</definedName>
    <definedName name="____NSO2" localSheetId="0" hidden="1">{"'Sheet1'!$L$16"}</definedName>
    <definedName name="____NSO2" localSheetId="1" hidden="1">{"'Sheet1'!$L$16"}</definedName>
    <definedName name="____NSO2" localSheetId="5" hidden="1">{"'Sheet1'!$L$16"}</definedName>
    <definedName name="____NSO2" hidden="1">{"'Sheet1'!$L$16"}</definedName>
    <definedName name="____PA3" localSheetId="5" hidden="1">{"'Sheet1'!$L$16"}</definedName>
    <definedName name="____PA3" hidden="1">{"'Sheet1'!$L$16"}</definedName>
    <definedName name="____phi10">#REF!</definedName>
    <definedName name="____phi12">#REF!</definedName>
    <definedName name="____phi14">#REF!</definedName>
    <definedName name="____phi16">#REF!</definedName>
    <definedName name="____phi18">#REF!</definedName>
    <definedName name="____phi20">#REF!</definedName>
    <definedName name="____phi22">#REF!</definedName>
    <definedName name="____phi25">#REF!</definedName>
    <definedName name="____phi28">#REF!</definedName>
    <definedName name="____phi6">#REF!</definedName>
    <definedName name="____phi8">#REF!</definedName>
    <definedName name="____PL1242">#REF!</definedName>
    <definedName name="____sat10">#REF!</definedName>
    <definedName name="____sat14">#REF!</definedName>
    <definedName name="____sat16">#REF!</definedName>
    <definedName name="____sat20">#REF!</definedName>
    <definedName name="____sat8">#REF!</definedName>
    <definedName name="____sc1">#REF!</definedName>
    <definedName name="____SC2">#REF!</definedName>
    <definedName name="____sc3">#REF!</definedName>
    <definedName name="____slg1">#REF!</definedName>
    <definedName name="____slg2">#REF!</definedName>
    <definedName name="____slg3">#REF!</definedName>
    <definedName name="____slg4">#REF!</definedName>
    <definedName name="____slg5">#REF!</definedName>
    <definedName name="____slg6">#REF!</definedName>
    <definedName name="____SN3">#REF!</definedName>
    <definedName name="____sua20">#REF!</definedName>
    <definedName name="____sua30">#REF!</definedName>
    <definedName name="____TB1">#REF!</definedName>
    <definedName name="____TH1">#REF!</definedName>
    <definedName name="____TH2">#REF!</definedName>
    <definedName name="____TH3">#REF!</definedName>
    <definedName name="____TK155">#REF!</definedName>
    <definedName name="____TK422">#REF!</definedName>
    <definedName name="____TL1">#REF!</definedName>
    <definedName name="____TL2">#REF!</definedName>
    <definedName name="____TL3">#REF!</definedName>
    <definedName name="____TLA120">#REF!</definedName>
    <definedName name="____TLA35">#REF!</definedName>
    <definedName name="____TLA50">#REF!</definedName>
    <definedName name="____TLA70">#REF!</definedName>
    <definedName name="____TLA95">#REF!</definedName>
    <definedName name="____VL100">#REF!</definedName>
    <definedName name="____vl2" localSheetId="9" hidden="1">{"'Sheet1'!$L$16"}</definedName>
    <definedName name="____vl2" localSheetId="0" hidden="1">{"'Sheet1'!$L$16"}</definedName>
    <definedName name="____vl2" localSheetId="1" hidden="1">{"'Sheet1'!$L$16"}</definedName>
    <definedName name="____vl2" localSheetId="5" hidden="1">{"'Sheet1'!$L$16"}</definedName>
    <definedName name="____vl2" hidden="1">{"'Sheet1'!$L$16"}</definedName>
    <definedName name="____VL250">#REF!</definedName>
    <definedName name="___a1" localSheetId="9" hidden="1">{"'Sheet1'!$L$16"}</definedName>
    <definedName name="___a1" localSheetId="0" hidden="1">{"'Sheet1'!$L$16"}</definedName>
    <definedName name="___a1" localSheetId="1" hidden="1">{"'Sheet1'!$L$16"}</definedName>
    <definedName name="___a1" localSheetId="5" hidden="1">{"'Sheet1'!$L$16"}</definedName>
    <definedName name="___a1" hidden="1">{"'Sheet1'!$L$16"}</definedName>
    <definedName name="___boi1">#REF!</definedName>
    <definedName name="___boi2">#REF!</definedName>
    <definedName name="___boi3">#REF!</definedName>
    <definedName name="___boi4">#REF!</definedName>
    <definedName name="___btm10">#REF!</definedName>
    <definedName name="___btm100">#REF!</definedName>
    <definedName name="___BTM250">#REF!</definedName>
    <definedName name="___btM300">#REF!</definedName>
    <definedName name="___cao1">#REF!</definedName>
    <definedName name="___cao2">#REF!</definedName>
    <definedName name="___cao3">#REF!</definedName>
    <definedName name="___cao4">#REF!</definedName>
    <definedName name="___cao5">#REF!</definedName>
    <definedName name="___cao6">#REF!</definedName>
    <definedName name="___CON1">#REF!</definedName>
    <definedName name="___CON2">#REF!</definedName>
    <definedName name="___dai1">#REF!</definedName>
    <definedName name="___dai2">#REF!</definedName>
    <definedName name="___dai3">#REF!</definedName>
    <definedName name="___dai4">#REF!</definedName>
    <definedName name="___dai5">#REF!</definedName>
    <definedName name="___dai6">#REF!</definedName>
    <definedName name="___dan1">#REF!</definedName>
    <definedName name="___dan2">#REF!</definedName>
    <definedName name="___ddn400">#REF!</definedName>
    <definedName name="___ddn600">#REF!</definedName>
    <definedName name="___gon4">#REF!</definedName>
    <definedName name="___h1" localSheetId="9" hidden="1">{"'Sheet1'!$L$16"}</definedName>
    <definedName name="___h1" localSheetId="0" hidden="1">{"'Sheet1'!$L$16"}</definedName>
    <definedName name="___h1" localSheetId="1" hidden="1">{"'Sheet1'!$L$16"}</definedName>
    <definedName name="___h1" localSheetId="5" hidden="1">{"'Sheet1'!$L$16"}</definedName>
    <definedName name="___h1" hidden="1">{"'Sheet1'!$L$16"}</definedName>
    <definedName name="___h10" localSheetId="9" hidden="1">{#N/A,#N/A,FALSE,"Chi tiÆt"}</definedName>
    <definedName name="___h10" localSheetId="0" hidden="1">{#N/A,#N/A,FALSE,"Chi tiÆt"}</definedName>
    <definedName name="___h10" localSheetId="1" hidden="1">{#N/A,#N/A,FALSE,"Chi tiÆt"}</definedName>
    <definedName name="___h10" localSheetId="5" hidden="1">{#N/A,#N/A,FALSE,"Chi tiÆt"}</definedName>
    <definedName name="___h10" hidden="1">{#N/A,#N/A,FALSE,"Chi tiÆt"}</definedName>
    <definedName name="___h2" localSheetId="9" hidden="1">{"'Sheet1'!$L$16"}</definedName>
    <definedName name="___h2" localSheetId="0" hidden="1">{"'Sheet1'!$L$16"}</definedName>
    <definedName name="___h2" localSheetId="1" hidden="1">{"'Sheet1'!$L$16"}</definedName>
    <definedName name="___h2" localSheetId="5" hidden="1">{"'Sheet1'!$L$16"}</definedName>
    <definedName name="___h2" hidden="1">{"'Sheet1'!$L$16"}</definedName>
    <definedName name="___h3" localSheetId="9" hidden="1">{"'Sheet1'!$L$16"}</definedName>
    <definedName name="___h3" localSheetId="0" hidden="1">{"'Sheet1'!$L$16"}</definedName>
    <definedName name="___h3" localSheetId="1" hidden="1">{"'Sheet1'!$L$16"}</definedName>
    <definedName name="___h3" localSheetId="5" hidden="1">{"'Sheet1'!$L$16"}</definedName>
    <definedName name="___h3" hidden="1">{"'Sheet1'!$L$16"}</definedName>
    <definedName name="___h5" localSheetId="9" hidden="1">{"'Sheet1'!$L$16"}</definedName>
    <definedName name="___h5" localSheetId="0" hidden="1">{"'Sheet1'!$L$16"}</definedName>
    <definedName name="___h5" localSheetId="1" hidden="1">{"'Sheet1'!$L$16"}</definedName>
    <definedName name="___h5" localSheetId="5" hidden="1">{"'Sheet1'!$L$16"}</definedName>
    <definedName name="___h5" hidden="1">{"'Sheet1'!$L$16"}</definedName>
    <definedName name="___h6" localSheetId="9" hidden="1">{"'Sheet1'!$L$16"}</definedName>
    <definedName name="___h6" localSheetId="0" hidden="1">{"'Sheet1'!$L$16"}</definedName>
    <definedName name="___h6" localSheetId="1" hidden="1">{"'Sheet1'!$L$16"}</definedName>
    <definedName name="___h6" localSheetId="5" hidden="1">{"'Sheet1'!$L$16"}</definedName>
    <definedName name="___h6" hidden="1">{"'Sheet1'!$L$16"}</definedName>
    <definedName name="___h7" localSheetId="9" hidden="1">{"'Sheet1'!$L$16"}</definedName>
    <definedName name="___h7" localSheetId="0" hidden="1">{"'Sheet1'!$L$16"}</definedName>
    <definedName name="___h7" localSheetId="1" hidden="1">{"'Sheet1'!$L$16"}</definedName>
    <definedName name="___h7" localSheetId="5" hidden="1">{"'Sheet1'!$L$16"}</definedName>
    <definedName name="___h7" hidden="1">{"'Sheet1'!$L$16"}</definedName>
    <definedName name="___h8" localSheetId="9" hidden="1">{"'Sheet1'!$L$16"}</definedName>
    <definedName name="___h8" localSheetId="0" hidden="1">{"'Sheet1'!$L$16"}</definedName>
    <definedName name="___h8" localSheetId="1" hidden="1">{"'Sheet1'!$L$16"}</definedName>
    <definedName name="___h8" localSheetId="5" hidden="1">{"'Sheet1'!$L$16"}</definedName>
    <definedName name="___h8" hidden="1">{"'Sheet1'!$L$16"}</definedName>
    <definedName name="___h9" localSheetId="9" hidden="1">{"'Sheet1'!$L$16"}</definedName>
    <definedName name="___h9" localSheetId="0" hidden="1">{"'Sheet1'!$L$16"}</definedName>
    <definedName name="___h9" localSheetId="1" hidden="1">{"'Sheet1'!$L$16"}</definedName>
    <definedName name="___h9" localSheetId="5" hidden="1">{"'Sheet1'!$L$16"}</definedName>
    <definedName name="___h9" hidden="1">{"'Sheet1'!$L$16"}</definedName>
    <definedName name="___hom2">#REF!</definedName>
    <definedName name="___KM188">#REF!</definedName>
    <definedName name="___km189">#REF!</definedName>
    <definedName name="___km190">#REF!</definedName>
    <definedName name="___km191">#REF!</definedName>
    <definedName name="___km192">#REF!</definedName>
    <definedName name="___km193">#REF!</definedName>
    <definedName name="___km194">#REF!</definedName>
    <definedName name="___km195">#REF!</definedName>
    <definedName name="___km196">#REF!</definedName>
    <definedName name="___km197">#REF!</definedName>
    <definedName name="___km198">#REF!</definedName>
    <definedName name="___lap1">#REF!</definedName>
    <definedName name="___lap2">#REF!</definedName>
    <definedName name="___MAC12">#REF!</definedName>
    <definedName name="___MAC46">#REF!</definedName>
    <definedName name="___NCL100">#REF!</definedName>
    <definedName name="___NCL200">#REF!</definedName>
    <definedName name="___NCL250">#REF!</definedName>
    <definedName name="___NET2">#REF!</definedName>
    <definedName name="___nin190">#REF!</definedName>
    <definedName name="___NSO2" localSheetId="9" hidden="1">{"'Sheet1'!$L$16"}</definedName>
    <definedName name="___NSO2" localSheetId="0" hidden="1">{"'Sheet1'!$L$16"}</definedName>
    <definedName name="___NSO2" localSheetId="1" hidden="1">{"'Sheet1'!$L$16"}</definedName>
    <definedName name="___NSO2" localSheetId="5" hidden="1">{"'Sheet1'!$L$16"}</definedName>
    <definedName name="___NSO2" hidden="1">{"'Sheet1'!$L$16"}</definedName>
    <definedName name="___PA3" localSheetId="9" hidden="1">{"'Sheet1'!$L$16"}</definedName>
    <definedName name="___PA3" localSheetId="0" hidden="1">{"'Sheet1'!$L$16"}</definedName>
    <definedName name="___PA3" localSheetId="1" hidden="1">{"'Sheet1'!$L$16"}</definedName>
    <definedName name="___PA3" localSheetId="5" hidden="1">{"'Sheet1'!$L$16"}</definedName>
    <definedName name="___PA3" hidden="1">{"'Sheet1'!$L$16"}</definedName>
    <definedName name="___phi10">#REF!</definedName>
    <definedName name="___phi12">#REF!</definedName>
    <definedName name="___phi14">#REF!</definedName>
    <definedName name="___phi16">#REF!</definedName>
    <definedName name="___phi18">#REF!</definedName>
    <definedName name="___phi20">#REF!</definedName>
    <definedName name="___phi22">#REF!</definedName>
    <definedName name="___phi25">#REF!</definedName>
    <definedName name="___phi28">#REF!</definedName>
    <definedName name="___phi6">#REF!</definedName>
    <definedName name="___phi8">#REF!</definedName>
    <definedName name="___PL1242">#REF!</definedName>
    <definedName name="___sat10">#REF!</definedName>
    <definedName name="___sat14">#REF!</definedName>
    <definedName name="___sat16">#REF!</definedName>
    <definedName name="___sat20">#REF!</definedName>
    <definedName name="___sat8">#REF!</definedName>
    <definedName name="___sc1">#REF!</definedName>
    <definedName name="___SC2">#REF!</definedName>
    <definedName name="___sc3">#REF!</definedName>
    <definedName name="___slg1">#REF!</definedName>
    <definedName name="___slg2">#REF!</definedName>
    <definedName name="___slg3">#REF!</definedName>
    <definedName name="___slg4">#REF!</definedName>
    <definedName name="___slg5">#REF!</definedName>
    <definedName name="___slg6">#REF!</definedName>
    <definedName name="___SN3">#REF!</definedName>
    <definedName name="___sua20">#REF!</definedName>
    <definedName name="___sua30">#REF!</definedName>
    <definedName name="___TB1">#REF!</definedName>
    <definedName name="___TH1">#REF!</definedName>
    <definedName name="___TH2">#REF!</definedName>
    <definedName name="___TH3">#REF!</definedName>
    <definedName name="___TK155">#REF!</definedName>
    <definedName name="___TK422">#REF!</definedName>
    <definedName name="___TL1">#REF!</definedName>
    <definedName name="___TL2">#REF!</definedName>
    <definedName name="___TL3">#REF!</definedName>
    <definedName name="___TLA120">#REF!</definedName>
    <definedName name="___TLA35">#REF!</definedName>
    <definedName name="___TLA50">#REF!</definedName>
    <definedName name="___TLA70">#REF!</definedName>
    <definedName name="___TLA95">#REF!</definedName>
    <definedName name="___VL100">#REF!</definedName>
    <definedName name="___vl2" localSheetId="9" hidden="1">{"'Sheet1'!$L$16"}</definedName>
    <definedName name="___vl2" localSheetId="0" hidden="1">{"'Sheet1'!$L$16"}</definedName>
    <definedName name="___vl2" localSheetId="1" hidden="1">{"'Sheet1'!$L$16"}</definedName>
    <definedName name="___vl2" localSheetId="5" hidden="1">{"'Sheet1'!$L$16"}</definedName>
    <definedName name="___vl2" hidden="1">{"'Sheet1'!$L$16"}</definedName>
    <definedName name="___VL250">#REF!</definedName>
    <definedName name="__a1" localSheetId="9" hidden="1">{"'Sheet1'!$L$16"}</definedName>
    <definedName name="__a1" localSheetId="0" hidden="1">{"'Sheet1'!$L$16"}</definedName>
    <definedName name="__a1" localSheetId="1" hidden="1">{"'Sheet1'!$L$16"}</definedName>
    <definedName name="__a1" localSheetId="5" hidden="1">{"'Sheet1'!$L$16"}</definedName>
    <definedName name="__a1" hidden="1">{"'Sheet1'!$L$16"}</definedName>
    <definedName name="__boi1">#REF!</definedName>
    <definedName name="__boi2">#REF!</definedName>
    <definedName name="__boi3">#REF!</definedName>
    <definedName name="__boi4">#REF!</definedName>
    <definedName name="__btm10">#REF!</definedName>
    <definedName name="__btm100">#REF!</definedName>
    <definedName name="__BTM250">#REF!</definedName>
    <definedName name="__btM300">#REF!</definedName>
    <definedName name="__cao1">#REF!</definedName>
    <definedName name="__cao2">#REF!</definedName>
    <definedName name="__cao3">#REF!</definedName>
    <definedName name="__cao4">#REF!</definedName>
    <definedName name="__cao5">#REF!</definedName>
    <definedName name="__cao6">#REF!</definedName>
    <definedName name="__CON1">#REF!</definedName>
    <definedName name="__CON2">#REF!</definedName>
    <definedName name="__dai1">#REF!</definedName>
    <definedName name="__dai2">#REF!</definedName>
    <definedName name="__dai3">#REF!</definedName>
    <definedName name="__dai4">#REF!</definedName>
    <definedName name="__dai5">#REF!</definedName>
    <definedName name="__dai6">#REF!</definedName>
    <definedName name="__dan1">#REF!</definedName>
    <definedName name="__dan2">#REF!</definedName>
    <definedName name="__ddn400">#REF!</definedName>
    <definedName name="__ddn600">#REF!</definedName>
    <definedName name="__gon4">#REF!</definedName>
    <definedName name="__h1" localSheetId="9" hidden="1">{"'Sheet1'!$L$16"}</definedName>
    <definedName name="__h1" localSheetId="0" hidden="1">{"'Sheet1'!$L$16"}</definedName>
    <definedName name="__h1" localSheetId="1" hidden="1">{"'Sheet1'!$L$16"}</definedName>
    <definedName name="__h1" localSheetId="5" hidden="1">{"'Sheet1'!$L$16"}</definedName>
    <definedName name="__h1" hidden="1">{"'Sheet1'!$L$16"}</definedName>
    <definedName name="__h10" localSheetId="9" hidden="1">{#N/A,#N/A,FALSE,"Chi tiÆt"}</definedName>
    <definedName name="__h10" localSheetId="0" hidden="1">{#N/A,#N/A,FALSE,"Chi tiÆt"}</definedName>
    <definedName name="__h10" localSheetId="1" hidden="1">{#N/A,#N/A,FALSE,"Chi tiÆt"}</definedName>
    <definedName name="__h10" localSheetId="5" hidden="1">{#N/A,#N/A,FALSE,"Chi tiÆt"}</definedName>
    <definedName name="__h10" hidden="1">{#N/A,#N/A,FALSE,"Chi tiÆt"}</definedName>
    <definedName name="__h2" localSheetId="9" hidden="1">{"'Sheet1'!$L$16"}</definedName>
    <definedName name="__h2" localSheetId="0" hidden="1">{"'Sheet1'!$L$16"}</definedName>
    <definedName name="__h2" localSheetId="1" hidden="1">{"'Sheet1'!$L$16"}</definedName>
    <definedName name="__h2" localSheetId="5" hidden="1">{"'Sheet1'!$L$16"}</definedName>
    <definedName name="__h2" hidden="1">{"'Sheet1'!$L$16"}</definedName>
    <definedName name="__h3" localSheetId="9" hidden="1">{"'Sheet1'!$L$16"}</definedName>
    <definedName name="__h3" localSheetId="0" hidden="1">{"'Sheet1'!$L$16"}</definedName>
    <definedName name="__h3" localSheetId="1" hidden="1">{"'Sheet1'!$L$16"}</definedName>
    <definedName name="__h3" localSheetId="5" hidden="1">{"'Sheet1'!$L$16"}</definedName>
    <definedName name="__h3" hidden="1">{"'Sheet1'!$L$16"}</definedName>
    <definedName name="__h5" localSheetId="9" hidden="1">{"'Sheet1'!$L$16"}</definedName>
    <definedName name="__h5" localSheetId="0" hidden="1">{"'Sheet1'!$L$16"}</definedName>
    <definedName name="__h5" localSheetId="1" hidden="1">{"'Sheet1'!$L$16"}</definedName>
    <definedName name="__h5" localSheetId="5" hidden="1">{"'Sheet1'!$L$16"}</definedName>
    <definedName name="__h5" hidden="1">{"'Sheet1'!$L$16"}</definedName>
    <definedName name="__h6" localSheetId="9" hidden="1">{"'Sheet1'!$L$16"}</definedName>
    <definedName name="__h6" localSheetId="0" hidden="1">{"'Sheet1'!$L$16"}</definedName>
    <definedName name="__h6" localSheetId="1" hidden="1">{"'Sheet1'!$L$16"}</definedName>
    <definedName name="__h6" localSheetId="5" hidden="1">{"'Sheet1'!$L$16"}</definedName>
    <definedName name="__h6" hidden="1">{"'Sheet1'!$L$16"}</definedName>
    <definedName name="__h7" localSheetId="9" hidden="1">{"'Sheet1'!$L$16"}</definedName>
    <definedName name="__h7" localSheetId="0" hidden="1">{"'Sheet1'!$L$16"}</definedName>
    <definedName name="__h7" localSheetId="1" hidden="1">{"'Sheet1'!$L$16"}</definedName>
    <definedName name="__h7" localSheetId="5" hidden="1">{"'Sheet1'!$L$16"}</definedName>
    <definedName name="__h7" hidden="1">{"'Sheet1'!$L$16"}</definedName>
    <definedName name="__h8" localSheetId="9" hidden="1">{"'Sheet1'!$L$16"}</definedName>
    <definedName name="__h8" localSheetId="0" hidden="1">{"'Sheet1'!$L$16"}</definedName>
    <definedName name="__h8" localSheetId="1" hidden="1">{"'Sheet1'!$L$16"}</definedName>
    <definedName name="__h8" localSheetId="5" hidden="1">{"'Sheet1'!$L$16"}</definedName>
    <definedName name="__h8" hidden="1">{"'Sheet1'!$L$16"}</definedName>
    <definedName name="__h9" localSheetId="9" hidden="1">{"'Sheet1'!$L$16"}</definedName>
    <definedName name="__h9" localSheetId="0" hidden="1">{"'Sheet1'!$L$16"}</definedName>
    <definedName name="__h9" localSheetId="1" hidden="1">{"'Sheet1'!$L$16"}</definedName>
    <definedName name="__h9" localSheetId="5" hidden="1">{"'Sheet1'!$L$16"}</definedName>
    <definedName name="__h9" hidden="1">{"'Sheet1'!$L$16"}</definedName>
    <definedName name="__hom2">#REF!</definedName>
    <definedName name="__KM188">#REF!</definedName>
    <definedName name="__km189">#REF!</definedName>
    <definedName name="__km190">#REF!</definedName>
    <definedName name="__km191">#REF!</definedName>
    <definedName name="__km192">#REF!</definedName>
    <definedName name="__km193">#REF!</definedName>
    <definedName name="__km194">#REF!</definedName>
    <definedName name="__km195">#REF!</definedName>
    <definedName name="__km196">#REF!</definedName>
    <definedName name="__km197">#REF!</definedName>
    <definedName name="__km198">#REF!</definedName>
    <definedName name="__Lan1" localSheetId="5" hidden="1">{"'Sheet1'!$L$16"}</definedName>
    <definedName name="__Lan1" hidden="1">{"'Sheet1'!$L$16"}</definedName>
    <definedName name="__LAN3" localSheetId="5" hidden="1">{"'Sheet1'!$L$16"}</definedName>
    <definedName name="__LAN3" hidden="1">{"'Sheet1'!$L$16"}</definedName>
    <definedName name="__lap1">#REF!</definedName>
    <definedName name="__lap2">#REF!</definedName>
    <definedName name="__MAC12">#REF!</definedName>
    <definedName name="__MAC46">#REF!</definedName>
    <definedName name="__NCL100">#REF!</definedName>
    <definedName name="__NCL200">#REF!</definedName>
    <definedName name="__NCL250">#REF!</definedName>
    <definedName name="__NET2">#REF!</definedName>
    <definedName name="__nin190">#REF!</definedName>
    <definedName name="__NSO2" localSheetId="9" hidden="1">{"'Sheet1'!$L$16"}</definedName>
    <definedName name="__NSO2" localSheetId="0" hidden="1">{"'Sheet1'!$L$16"}</definedName>
    <definedName name="__NSO2" localSheetId="1" hidden="1">{"'Sheet1'!$L$16"}</definedName>
    <definedName name="__NSO2" localSheetId="5" hidden="1">{"'Sheet1'!$L$16"}</definedName>
    <definedName name="__NSO2" hidden="1">{"'Sheet1'!$L$16"}</definedName>
    <definedName name="__PA3" localSheetId="9" hidden="1">{"'Sheet1'!$L$16"}</definedName>
    <definedName name="__PA3" localSheetId="0" hidden="1">{"'Sheet1'!$L$16"}</definedName>
    <definedName name="__PA3" localSheetId="1" hidden="1">{"'Sheet1'!$L$16"}</definedName>
    <definedName name="__PA3" localSheetId="5" hidden="1">{"'Sheet1'!$L$16"}</definedName>
    <definedName name="__PA3" hidden="1">{"'Sheet1'!$L$16"}</definedName>
    <definedName name="__phi10">#REF!</definedName>
    <definedName name="__phi12">#REF!</definedName>
    <definedName name="__phi14">#REF!</definedName>
    <definedName name="__phi16">#REF!</definedName>
    <definedName name="__phi18">#REF!</definedName>
    <definedName name="__phi20">#REF!</definedName>
    <definedName name="__phi22">#REF!</definedName>
    <definedName name="__phi25">#REF!</definedName>
    <definedName name="__phi28">#REF!</definedName>
    <definedName name="__phi6">#REF!</definedName>
    <definedName name="__phi8">#REF!</definedName>
    <definedName name="__PL1242">#REF!</definedName>
    <definedName name="__sat10">#REF!</definedName>
    <definedName name="__sat14">#REF!</definedName>
    <definedName name="__sat16">#REF!</definedName>
    <definedName name="__sat20">#REF!</definedName>
    <definedName name="__sat8">#REF!</definedName>
    <definedName name="__sc1">#REF!</definedName>
    <definedName name="__SC2">#REF!</definedName>
    <definedName name="__sc3">#REF!</definedName>
    <definedName name="__slg1">#REF!</definedName>
    <definedName name="__slg2">#REF!</definedName>
    <definedName name="__slg3">#REF!</definedName>
    <definedName name="__slg4">#REF!</definedName>
    <definedName name="__slg5">#REF!</definedName>
    <definedName name="__slg6">#REF!</definedName>
    <definedName name="__SN3">#REF!</definedName>
    <definedName name="__sua20">#REF!</definedName>
    <definedName name="__sua30">#REF!</definedName>
    <definedName name="__TB1">#REF!</definedName>
    <definedName name="__TH1">#REF!</definedName>
    <definedName name="__TH2">#REF!</definedName>
    <definedName name="__TH3">#REF!</definedName>
    <definedName name="__TK155">#REF!</definedName>
    <definedName name="__TK422">#REF!</definedName>
    <definedName name="__TL1">#REF!</definedName>
    <definedName name="__TL2">#REF!</definedName>
    <definedName name="__TL3">#REF!</definedName>
    <definedName name="__TLA120">#REF!</definedName>
    <definedName name="__TLA35">#REF!</definedName>
    <definedName name="__TLA50">#REF!</definedName>
    <definedName name="__TLA70">#REF!</definedName>
    <definedName name="__TLA95">#REF!</definedName>
    <definedName name="__tt3" localSheetId="5" hidden="1">{"'Sheet1'!$L$16"}</definedName>
    <definedName name="__tt3" hidden="1">{"'Sheet1'!$L$16"}</definedName>
    <definedName name="__TT31" localSheetId="5" hidden="1">{"'Sheet1'!$L$16"}</definedName>
    <definedName name="__TT31" hidden="1">{"'Sheet1'!$L$16"}</definedName>
    <definedName name="__VL100">#REF!</definedName>
    <definedName name="__vl2" localSheetId="9" hidden="1">{"'Sheet1'!$L$16"}</definedName>
    <definedName name="__vl2" localSheetId="0" hidden="1">{"'Sheet1'!$L$16"}</definedName>
    <definedName name="__vl2" localSheetId="1" hidden="1">{"'Sheet1'!$L$16"}</definedName>
    <definedName name="__vl2" localSheetId="5" hidden="1">{"'Sheet1'!$L$16"}</definedName>
    <definedName name="__vl2" hidden="1">{"'Sheet1'!$L$16"}</definedName>
    <definedName name="__VL250">#REF!</definedName>
    <definedName name="_1">#REF!</definedName>
    <definedName name="_1000A01">#N/A</definedName>
    <definedName name="_1BA2500" localSheetId="0">#REF!</definedName>
    <definedName name="_1BA2500" localSheetId="1">#REF!</definedName>
    <definedName name="_1BA2500" localSheetId="5">#REF!</definedName>
    <definedName name="_1BA2500">#REF!</definedName>
    <definedName name="_1BA3250" localSheetId="0">#REF!</definedName>
    <definedName name="_1BA3250" localSheetId="1">#REF!</definedName>
    <definedName name="_1BA3250" localSheetId="5">#REF!</definedName>
    <definedName name="_1BA3250">#REF!</definedName>
    <definedName name="_1BA400P" localSheetId="0">#REF!</definedName>
    <definedName name="_1BA400P" localSheetId="1">#REF!</definedName>
    <definedName name="_1BA400P" localSheetId="5">#REF!</definedName>
    <definedName name="_1BA400P">#REF!</definedName>
    <definedName name="_1CAP001">#REF!</definedName>
    <definedName name="_1DAU002">#REF!</definedName>
    <definedName name="_1DDAY03">#REF!</definedName>
    <definedName name="_1DDTT01">#REF!</definedName>
    <definedName name="_1FCO101">#REF!</definedName>
    <definedName name="_1GIA101">#REF!</definedName>
    <definedName name="_1LA1001">#REF!</definedName>
    <definedName name="_1MCCBO2">#REF!</definedName>
    <definedName name="_1PKCAP1">#REF!</definedName>
    <definedName name="_1PKTT01">#REF!</definedName>
    <definedName name="_1TCD101">#REF!</definedName>
    <definedName name="_1TCD201">#REF!</definedName>
    <definedName name="_1TD2001">#REF!</definedName>
    <definedName name="_1TIHT01">#REF!</definedName>
    <definedName name="_1TRU121">#REF!</definedName>
    <definedName name="_2">#REF!</definedName>
    <definedName name="_2BLA100">#REF!</definedName>
    <definedName name="_2DAL201">#REF!</definedName>
    <definedName name="_3BLXMD">#REF!</definedName>
    <definedName name="_3TU0609">#REF!</definedName>
    <definedName name="_40x4">5100</definedName>
    <definedName name="_413565">"hdong+Sheet1!$A$2:$J$24263!$A$13374"</definedName>
    <definedName name="_4CNT240" localSheetId="0">#REF!</definedName>
    <definedName name="_4CNT240" localSheetId="1">#REF!</definedName>
    <definedName name="_4CNT240" localSheetId="5">#REF!</definedName>
    <definedName name="_4CNT240">#REF!</definedName>
    <definedName name="_4CTL240" localSheetId="0">#REF!</definedName>
    <definedName name="_4CTL240" localSheetId="1">#REF!</definedName>
    <definedName name="_4CTL240" localSheetId="5">#REF!</definedName>
    <definedName name="_4CTL240">#REF!</definedName>
    <definedName name="_4FCO100" localSheetId="0">#REF!</definedName>
    <definedName name="_4FCO100" localSheetId="1">#REF!</definedName>
    <definedName name="_4FCO100" localSheetId="5">#REF!</definedName>
    <definedName name="_4FCO100">#REF!</definedName>
    <definedName name="_4HDCTT4">#REF!</definedName>
    <definedName name="_4HNCTT4">#REF!</definedName>
    <definedName name="_4LBCO01">#REF!</definedName>
    <definedName name="_a1" localSheetId="9" hidden="1">{"'Sheet1'!$L$16"}</definedName>
    <definedName name="_a1" localSheetId="0" hidden="1">{"'Sheet1'!$L$16"}</definedName>
    <definedName name="_a1" localSheetId="1" hidden="1">{"'Sheet1'!$L$16"}</definedName>
    <definedName name="_a1" localSheetId="5" hidden="1">{"'Sheet1'!$L$16"}</definedName>
    <definedName name="_a1" hidden="1">{"'Sheet1'!$L$16"}</definedName>
    <definedName name="_a129" localSheetId="9" hidden="1">{"Offgrid",#N/A,FALSE,"OFFGRID";"Region",#N/A,FALSE,"REGION";"Offgrid -2",#N/A,FALSE,"OFFGRID";"WTP",#N/A,FALSE,"WTP";"WTP -2",#N/A,FALSE,"WTP";"Project",#N/A,FALSE,"PROJECT";"Summary -2",#N/A,FALSE,"SUMMARY"}</definedName>
    <definedName name="_a129" localSheetId="0" hidden="1">{"Offgrid",#N/A,FALSE,"OFFGRID";"Region",#N/A,FALSE,"REGION";"Offgrid -2",#N/A,FALSE,"OFFGRID";"WTP",#N/A,FALSE,"WTP";"WTP -2",#N/A,FALSE,"WTP";"Project",#N/A,FALSE,"PROJECT";"Summary -2",#N/A,FALSE,"SUMMARY"}</definedName>
    <definedName name="_a129" localSheetId="1" hidden="1">{"Offgrid",#N/A,FALSE,"OFFGRID";"Region",#N/A,FALSE,"REGION";"Offgrid -2",#N/A,FALSE,"OFFGRID";"WTP",#N/A,FALSE,"WTP";"WTP -2",#N/A,FALSE,"WTP";"Project",#N/A,FALSE,"PROJECT";"Summary -2",#N/A,FALSE,"SUMMARY"}</definedName>
    <definedName name="_a129" localSheetId="5" hidden="1">{"Offgrid",#N/A,FALSE,"OFFGRID";"Region",#N/A,FALSE,"REGION";"Offgrid -2",#N/A,FALSE,"OFFGRID";"WTP",#N/A,FALSE,"WTP";"WTP -2",#N/A,FALSE,"WTP";"Project",#N/A,FALSE,"PROJECT";"Summary -2",#N/A,FALSE,"SUMMARY"}</definedName>
    <definedName name="_a129" hidden="1">{"Offgrid",#N/A,FALSE,"OFFGRID";"Region",#N/A,FALSE,"REGION";"Offgrid -2",#N/A,FALSE,"OFFGRID";"WTP",#N/A,FALSE,"WTP";"WTP -2",#N/A,FALSE,"WTP";"Project",#N/A,FALSE,"PROJECT";"Summary -2",#N/A,FALSE,"SUMMARY"}</definedName>
    <definedName name="_a130" localSheetId="9" hidden="1">{"Offgrid",#N/A,FALSE,"OFFGRID";"Region",#N/A,FALSE,"REGION";"Offgrid -2",#N/A,FALSE,"OFFGRID";"WTP",#N/A,FALSE,"WTP";"WTP -2",#N/A,FALSE,"WTP";"Project",#N/A,FALSE,"PROJECT";"Summary -2",#N/A,FALSE,"SUMMARY"}</definedName>
    <definedName name="_a130" localSheetId="0" hidden="1">{"Offgrid",#N/A,FALSE,"OFFGRID";"Region",#N/A,FALSE,"REGION";"Offgrid -2",#N/A,FALSE,"OFFGRID";"WTP",#N/A,FALSE,"WTP";"WTP -2",#N/A,FALSE,"WTP";"Project",#N/A,FALSE,"PROJECT";"Summary -2",#N/A,FALSE,"SUMMARY"}</definedName>
    <definedName name="_a130" localSheetId="1" hidden="1">{"Offgrid",#N/A,FALSE,"OFFGRID";"Region",#N/A,FALSE,"REGION";"Offgrid -2",#N/A,FALSE,"OFFGRID";"WTP",#N/A,FALSE,"WTP";"WTP -2",#N/A,FALSE,"WTP";"Project",#N/A,FALSE,"PROJECT";"Summary -2",#N/A,FALSE,"SUMMARY"}</definedName>
    <definedName name="_a130" localSheetId="5" hidden="1">{"Offgrid",#N/A,FALSE,"OFFGRID";"Region",#N/A,FALSE,"REGION";"Offgrid -2",#N/A,FALSE,"OFFGRID";"WTP",#N/A,FALSE,"WTP";"WTP -2",#N/A,FALSE,"WTP";"Project",#N/A,FALSE,"PROJECT";"Summary -2",#N/A,FALSE,"SUMMARY"}</definedName>
    <definedName name="_a130" hidden="1">{"Offgrid",#N/A,FALSE,"OFFGRID";"Region",#N/A,FALSE,"REGION";"Offgrid -2",#N/A,FALSE,"OFFGRID";"WTP",#N/A,FALSE,"WTP";"WTP -2",#N/A,FALSE,"WTP";"Project",#N/A,FALSE,"PROJECT";"Summary -2",#N/A,FALSE,"SUMMARY"}</definedName>
    <definedName name="_ban2" localSheetId="5" hidden="1">{"'Sheet1'!$L$16"}</definedName>
    <definedName name="_ban2" hidden="1">{"'Sheet1'!$L$16"}</definedName>
    <definedName name="_boi1">#REF!</definedName>
    <definedName name="_boi2">#REF!</definedName>
    <definedName name="_boi3">#REF!</definedName>
    <definedName name="_boi4">#REF!</definedName>
    <definedName name="_btm10">#REF!</definedName>
    <definedName name="_btm100">#REF!</definedName>
    <definedName name="_BTM250">#REF!</definedName>
    <definedName name="_btM300">#REF!</definedName>
    <definedName name="_cao1">#REF!</definedName>
    <definedName name="_cao2">#REF!</definedName>
    <definedName name="_cao3">#REF!</definedName>
    <definedName name="_cao4">#REF!</definedName>
    <definedName name="_cao5">#REF!</definedName>
    <definedName name="_cao6">#REF!</definedName>
    <definedName name="_cep1" localSheetId="5" hidden="1">{"'Sheet1'!$L$16"}</definedName>
    <definedName name="_cep1" hidden="1">{"'Sheet1'!$L$16"}</definedName>
    <definedName name="_CN1" localSheetId="9" hidden="1">{"'Sheet1'!$L$16"}</definedName>
    <definedName name="_CN1" localSheetId="0" hidden="1">{"'Sheet1'!$L$16"}</definedName>
    <definedName name="_CN1" localSheetId="1" hidden="1">{"'Sheet1'!$L$16"}</definedName>
    <definedName name="_CN1" localSheetId="5" hidden="1">{"'Sheet1'!$L$16"}</definedName>
    <definedName name="_CN1" hidden="1">{"'Sheet1'!$L$16"}</definedName>
    <definedName name="_Coc39" localSheetId="5" hidden="1">{"'Sheet1'!$L$16"}</definedName>
    <definedName name="_Coc39" hidden="1">{"'Sheet1'!$L$16"}</definedName>
    <definedName name="_CON1">#REF!</definedName>
    <definedName name="_CON2">#REF!</definedName>
    <definedName name="_CT250">'[1]dongia (2)'!#REF!</definedName>
    <definedName name="_CV1">[2]gvl!$N$17</definedName>
    <definedName name="_dai1" localSheetId="0">#REF!</definedName>
    <definedName name="_dai1" localSheetId="1">#REF!</definedName>
    <definedName name="_dai1" localSheetId="5">#REF!</definedName>
    <definedName name="_dai1">#REF!</definedName>
    <definedName name="_dai2" localSheetId="0">#REF!</definedName>
    <definedName name="_dai2" localSheetId="1">#REF!</definedName>
    <definedName name="_dai2" localSheetId="5">#REF!</definedName>
    <definedName name="_dai2">#REF!</definedName>
    <definedName name="_dai3" localSheetId="0">#REF!</definedName>
    <definedName name="_dai3" localSheetId="1">#REF!</definedName>
    <definedName name="_dai3" localSheetId="5">#REF!</definedName>
    <definedName name="_dai3">#REF!</definedName>
    <definedName name="_dai4">#REF!</definedName>
    <definedName name="_dai5">#REF!</definedName>
    <definedName name="_dai6">#REF!</definedName>
    <definedName name="_dan1">#REF!</definedName>
    <definedName name="_dan2">#REF!</definedName>
    <definedName name="_ddn400">#REF!</definedName>
    <definedName name="_ddn600">#REF!</definedName>
    <definedName name="_Fill" hidden="1">#REF!</definedName>
    <definedName name="_xlnm._FilterDatabase" hidden="1">#REF!</definedName>
    <definedName name="_Goi8" localSheetId="5" hidden="1">{"'Sheet1'!$L$16"}</definedName>
    <definedName name="_Goi8" hidden="1">{"'Sheet1'!$L$16"}</definedName>
    <definedName name="_gon4">#REF!</definedName>
    <definedName name="_h1" localSheetId="9" hidden="1">{"'Sheet1'!$L$16"}</definedName>
    <definedName name="_h1" localSheetId="0" hidden="1">{"'Sheet1'!$L$16"}</definedName>
    <definedName name="_h1" localSheetId="1" hidden="1">{"'Sheet1'!$L$16"}</definedName>
    <definedName name="_h1" localSheetId="5" hidden="1">{"'Sheet1'!$L$16"}</definedName>
    <definedName name="_h1" hidden="1">{"'Sheet1'!$L$16"}</definedName>
    <definedName name="_h10" localSheetId="9" hidden="1">{#N/A,#N/A,FALSE,"Chi tiÆt"}</definedName>
    <definedName name="_h10" localSheetId="0" hidden="1">{#N/A,#N/A,FALSE,"Chi tiÆt"}</definedName>
    <definedName name="_h10" localSheetId="1" hidden="1">{#N/A,#N/A,FALSE,"Chi tiÆt"}</definedName>
    <definedName name="_h10" localSheetId="5" hidden="1">{#N/A,#N/A,FALSE,"Chi tiÆt"}</definedName>
    <definedName name="_h10" hidden="1">{#N/A,#N/A,FALSE,"Chi tiÆt"}</definedName>
    <definedName name="_h2" localSheetId="9" hidden="1">{"'Sheet1'!$L$16"}</definedName>
    <definedName name="_h2" localSheetId="0" hidden="1">{"'Sheet1'!$L$16"}</definedName>
    <definedName name="_h2" localSheetId="1" hidden="1">{"'Sheet1'!$L$16"}</definedName>
    <definedName name="_h2" localSheetId="5" hidden="1">{"'Sheet1'!$L$16"}</definedName>
    <definedName name="_h2" hidden="1">{"'Sheet1'!$L$16"}</definedName>
    <definedName name="_h3" localSheetId="9" hidden="1">{"'Sheet1'!$L$16"}</definedName>
    <definedName name="_h3" localSheetId="0" hidden="1">{"'Sheet1'!$L$16"}</definedName>
    <definedName name="_h3" localSheetId="1" hidden="1">{"'Sheet1'!$L$16"}</definedName>
    <definedName name="_h3" localSheetId="5" hidden="1">{"'Sheet1'!$L$16"}</definedName>
    <definedName name="_h3" hidden="1">{"'Sheet1'!$L$16"}</definedName>
    <definedName name="_h5" localSheetId="9" hidden="1">{"'Sheet1'!$L$16"}</definedName>
    <definedName name="_h5" localSheetId="0" hidden="1">{"'Sheet1'!$L$16"}</definedName>
    <definedName name="_h5" localSheetId="1" hidden="1">{"'Sheet1'!$L$16"}</definedName>
    <definedName name="_h5" localSheetId="5" hidden="1">{"'Sheet1'!$L$16"}</definedName>
    <definedName name="_h5" hidden="1">{"'Sheet1'!$L$16"}</definedName>
    <definedName name="_h6" localSheetId="9" hidden="1">{"'Sheet1'!$L$16"}</definedName>
    <definedName name="_h6" localSheetId="0" hidden="1">{"'Sheet1'!$L$16"}</definedName>
    <definedName name="_h6" localSheetId="1" hidden="1">{"'Sheet1'!$L$16"}</definedName>
    <definedName name="_h6" localSheetId="5" hidden="1">{"'Sheet1'!$L$16"}</definedName>
    <definedName name="_h6" hidden="1">{"'Sheet1'!$L$16"}</definedName>
    <definedName name="_h7" localSheetId="9" hidden="1">{"'Sheet1'!$L$16"}</definedName>
    <definedName name="_h7" localSheetId="0" hidden="1">{"'Sheet1'!$L$16"}</definedName>
    <definedName name="_h7" localSheetId="1" hidden="1">{"'Sheet1'!$L$16"}</definedName>
    <definedName name="_h7" localSheetId="5" hidden="1">{"'Sheet1'!$L$16"}</definedName>
    <definedName name="_h7" hidden="1">{"'Sheet1'!$L$16"}</definedName>
    <definedName name="_h8" localSheetId="9" hidden="1">{"'Sheet1'!$L$16"}</definedName>
    <definedName name="_h8" localSheetId="0" hidden="1">{"'Sheet1'!$L$16"}</definedName>
    <definedName name="_h8" localSheetId="1" hidden="1">{"'Sheet1'!$L$16"}</definedName>
    <definedName name="_h8" localSheetId="5" hidden="1">{"'Sheet1'!$L$16"}</definedName>
    <definedName name="_h8" hidden="1">{"'Sheet1'!$L$16"}</definedName>
    <definedName name="_h9" localSheetId="9" hidden="1">{"'Sheet1'!$L$16"}</definedName>
    <definedName name="_h9" localSheetId="0" hidden="1">{"'Sheet1'!$L$16"}</definedName>
    <definedName name="_h9" localSheetId="1" hidden="1">{"'Sheet1'!$L$16"}</definedName>
    <definedName name="_h9" localSheetId="5" hidden="1">{"'Sheet1'!$L$16"}</definedName>
    <definedName name="_h9" hidden="1">{"'Sheet1'!$L$16"}</definedName>
    <definedName name="_hom2">#REF!</definedName>
    <definedName name="_hsm2">1.1289</definedName>
    <definedName name="_hu2" localSheetId="9" hidden="1">{"'Sheet1'!$L$16"}</definedName>
    <definedName name="_hu2" localSheetId="0" hidden="1">{"'Sheet1'!$L$16"}</definedName>
    <definedName name="_hu2" localSheetId="1" hidden="1">{"'Sheet1'!$L$16"}</definedName>
    <definedName name="_hu2" localSheetId="5" hidden="1">{"'Sheet1'!$L$16"}</definedName>
    <definedName name="_hu2" hidden="1">{"'Sheet1'!$L$16"}</definedName>
    <definedName name="_hu5" localSheetId="9" hidden="1">{"'Sheet1'!$L$16"}</definedName>
    <definedName name="_hu5" localSheetId="0" hidden="1">{"'Sheet1'!$L$16"}</definedName>
    <definedName name="_hu5" localSheetId="1" hidden="1">{"'Sheet1'!$L$16"}</definedName>
    <definedName name="_hu5" localSheetId="5" hidden="1">{"'Sheet1'!$L$16"}</definedName>
    <definedName name="_hu5" hidden="1">{"'Sheet1'!$L$16"}</definedName>
    <definedName name="_hu6" localSheetId="9" hidden="1">{"'Sheet1'!$L$16"}</definedName>
    <definedName name="_hu6" localSheetId="0" hidden="1">{"'Sheet1'!$L$16"}</definedName>
    <definedName name="_hu6" localSheetId="1" hidden="1">{"'Sheet1'!$L$16"}</definedName>
    <definedName name="_hu6" localSheetId="5" hidden="1">{"'Sheet1'!$L$16"}</definedName>
    <definedName name="_hu6" hidden="1">{"'Sheet1'!$L$16"}</definedName>
    <definedName name="_HUY1" localSheetId="5" hidden="1">{"'Sheet1'!$L$16"}</definedName>
    <definedName name="_HUY1" hidden="1">{"'Sheet1'!$L$16"}</definedName>
    <definedName name="_HUY2" localSheetId="5" hidden="1">{"'Sheet1'!$L$16"}</definedName>
    <definedName name="_HUY2" hidden="1">{"'Sheet1'!$L$16"}</definedName>
    <definedName name="_isc1">0.035</definedName>
    <definedName name="_isc2">0.02</definedName>
    <definedName name="_isc3">0.054</definedName>
    <definedName name="_Key1" localSheetId="0" hidden="1">#REF!</definedName>
    <definedName name="_Key1" localSheetId="1" hidden="1">#REF!</definedName>
    <definedName name="_Key1" localSheetId="5" hidden="1">#REF!</definedName>
    <definedName name="_Key1" hidden="1">#REF!</definedName>
    <definedName name="_Key2" localSheetId="0" hidden="1">#REF!</definedName>
    <definedName name="_Key2" localSheetId="1" hidden="1">#REF!</definedName>
    <definedName name="_Key2" localSheetId="5" hidden="1">#REF!</definedName>
    <definedName name="_Key2" hidden="1">#REF!</definedName>
    <definedName name="_KM188" localSheetId="0">#REF!</definedName>
    <definedName name="_KM188" localSheetId="1">#REF!</definedName>
    <definedName name="_KM188" localSheetId="5">#REF!</definedName>
    <definedName name="_KM188">#REF!</definedName>
    <definedName name="_km189">#REF!</definedName>
    <definedName name="_km190">#REF!</definedName>
    <definedName name="_km191">#REF!</definedName>
    <definedName name="_km192">#REF!</definedName>
    <definedName name="_km193">#REF!</definedName>
    <definedName name="_km194">#REF!</definedName>
    <definedName name="_km195">#REF!</definedName>
    <definedName name="_km196">#REF!</definedName>
    <definedName name="_km197">#REF!</definedName>
    <definedName name="_km198">#REF!</definedName>
    <definedName name="_Lan1" localSheetId="9" hidden="1">{"'Sheet1'!$L$16"}</definedName>
    <definedName name="_Lan1" localSheetId="0" hidden="1">{"'Sheet1'!$L$16"}</definedName>
    <definedName name="_Lan1" localSheetId="1" hidden="1">{"'Sheet1'!$L$16"}</definedName>
    <definedName name="_Lan1" localSheetId="5" hidden="1">{"'Sheet1'!$L$16"}</definedName>
    <definedName name="_Lan1" hidden="1">{"'Sheet1'!$L$16"}</definedName>
    <definedName name="_LAN3" localSheetId="9" hidden="1">{"'Sheet1'!$L$16"}</definedName>
    <definedName name="_LAN3" localSheetId="0" hidden="1">{"'Sheet1'!$L$16"}</definedName>
    <definedName name="_LAN3" localSheetId="1" hidden="1">{"'Sheet1'!$L$16"}</definedName>
    <definedName name="_LAN3" localSheetId="5" hidden="1">{"'Sheet1'!$L$16"}</definedName>
    <definedName name="_LAN3" hidden="1">{"'Sheet1'!$L$16"}</definedName>
    <definedName name="_lap1">#REF!</definedName>
    <definedName name="_lap2">#REF!</definedName>
    <definedName name="_lk2" localSheetId="5" hidden="1">{"'Sheet1'!$L$16"}</definedName>
    <definedName name="_lk2" hidden="1">{"'Sheet1'!$L$16"}</definedName>
    <definedName name="_MAC12">#REF!</definedName>
    <definedName name="_MAC46">#REF!</definedName>
    <definedName name="_n1">[3]COTTHEPMO!$J$6</definedName>
    <definedName name="_N1b2">[4]NhanCong!$G$9</definedName>
    <definedName name="_N1b3">[4]NhanCong!$G$19</definedName>
    <definedName name="_N1b4">[4]NhanCong!$G$29</definedName>
    <definedName name="_N1b5">[4]NhanCong!$G$39</definedName>
    <definedName name="_N1b6">[4]NhanCong!$G$49</definedName>
    <definedName name="_N1b7">[4]NhanCong!$G$59</definedName>
    <definedName name="_NCL100" localSheetId="0">#REF!</definedName>
    <definedName name="_NCL100" localSheetId="1">#REF!</definedName>
    <definedName name="_NCL100" localSheetId="5">#REF!</definedName>
    <definedName name="_NCL100">#REF!</definedName>
    <definedName name="_NCL200" localSheetId="0">#REF!</definedName>
    <definedName name="_NCL200" localSheetId="1">#REF!</definedName>
    <definedName name="_NCL200" localSheetId="5">#REF!</definedName>
    <definedName name="_NCL200">#REF!</definedName>
    <definedName name="_NCL250" localSheetId="0">#REF!</definedName>
    <definedName name="_NCL250" localSheetId="1">#REF!</definedName>
    <definedName name="_NCL250" localSheetId="5">#REF!</definedName>
    <definedName name="_NCL250">#REF!</definedName>
    <definedName name="_NET2">#REF!</definedName>
    <definedName name="_nga3">[2]gvl!$N$17</definedName>
    <definedName name="_nin190" localSheetId="0">#REF!</definedName>
    <definedName name="_nin190" localSheetId="1">#REF!</definedName>
    <definedName name="_nin190" localSheetId="5">#REF!</definedName>
    <definedName name="_nin190">#REF!</definedName>
    <definedName name="_NSO2" localSheetId="9" hidden="1">{"'Sheet1'!$L$16"}</definedName>
    <definedName name="_NSO2" localSheetId="0" hidden="1">{"'Sheet1'!$L$16"}</definedName>
    <definedName name="_NSO2" localSheetId="1" hidden="1">{"'Sheet1'!$L$16"}</definedName>
    <definedName name="_NSO2" localSheetId="5" hidden="1">{"'Sheet1'!$L$16"}</definedName>
    <definedName name="_NSO2" hidden="1">{"'Sheet1'!$L$16"}</definedName>
    <definedName name="_Order1" hidden="1">255</definedName>
    <definedName name="_Order2" hidden="1">255</definedName>
    <definedName name="_PA3" localSheetId="9" hidden="1">{"'Sheet1'!$L$16"}</definedName>
    <definedName name="_PA3" localSheetId="0" hidden="1">{"'Sheet1'!$L$16"}</definedName>
    <definedName name="_PA3" localSheetId="1" hidden="1">{"'Sheet1'!$L$16"}</definedName>
    <definedName name="_PA3" localSheetId="5" hidden="1">{"'Sheet1'!$L$16"}</definedName>
    <definedName name="_PA3" hidden="1">{"'Sheet1'!$L$16"}</definedName>
    <definedName name="_phi10">#REF!</definedName>
    <definedName name="_phi12">#REF!</definedName>
    <definedName name="_phi14">#REF!</definedName>
    <definedName name="_phi16">#REF!</definedName>
    <definedName name="_phi18">#REF!</definedName>
    <definedName name="_phi20">#REF!</definedName>
    <definedName name="_phi22">#REF!</definedName>
    <definedName name="_phi25">#REF!</definedName>
    <definedName name="_phi28">#REF!</definedName>
    <definedName name="_phi6">#REF!</definedName>
    <definedName name="_phi8">#REF!</definedName>
    <definedName name="_PL1242">#REF!</definedName>
    <definedName name="_Pl2" localSheetId="5" hidden="1">{"'Sheet1'!$L$16"}</definedName>
    <definedName name="_Pl2" hidden="1">{"'Sheet1'!$L$16"}</definedName>
    <definedName name="_sat10">#REF!</definedName>
    <definedName name="_sat14">#REF!</definedName>
    <definedName name="_sat16">#REF!</definedName>
    <definedName name="_sat20">#REF!</definedName>
    <definedName name="_sat8">#REF!</definedName>
    <definedName name="_sc1">#REF!</definedName>
    <definedName name="_SC2">#REF!</definedName>
    <definedName name="_sc3">#REF!</definedName>
    <definedName name="_slg1">#REF!</definedName>
    <definedName name="_slg2">#REF!</definedName>
    <definedName name="_slg3">#REF!</definedName>
    <definedName name="_slg4">#REF!</definedName>
    <definedName name="_slg5">#REF!</definedName>
    <definedName name="_slg6">#REF!</definedName>
    <definedName name="_SN3">#REF!</definedName>
    <definedName name="_SOC10">0.3456</definedName>
    <definedName name="_SOC8">0.2827</definedName>
    <definedName name="_Sort" localSheetId="0" hidden="1">#REF!</definedName>
    <definedName name="_Sort" localSheetId="1" hidden="1">#REF!</definedName>
    <definedName name="_Sort" localSheetId="5" hidden="1">#REF!</definedName>
    <definedName name="_Sort" hidden="1">#REF!</definedName>
    <definedName name="_Sta1">531.877</definedName>
    <definedName name="_Sta2">561.952</definedName>
    <definedName name="_Sta3">712.202</definedName>
    <definedName name="_Sta4">762.202</definedName>
    <definedName name="_sua20" localSheetId="0">#REF!</definedName>
    <definedName name="_sua20" localSheetId="1">#REF!</definedName>
    <definedName name="_sua20" localSheetId="5">#REF!</definedName>
    <definedName name="_sua20">#REF!</definedName>
    <definedName name="_sua30" localSheetId="0">#REF!</definedName>
    <definedName name="_sua30" localSheetId="1">#REF!</definedName>
    <definedName name="_sua30" localSheetId="5">#REF!</definedName>
    <definedName name="_sua30">#REF!</definedName>
    <definedName name="_TB1" localSheetId="0">#REF!</definedName>
    <definedName name="_TB1" localSheetId="1">#REF!</definedName>
    <definedName name="_TB1" localSheetId="5">#REF!</definedName>
    <definedName name="_TB1">#REF!</definedName>
    <definedName name="_tb2" localSheetId="5">BlankMacro1</definedName>
    <definedName name="_tb2">BlankMacro1</definedName>
    <definedName name="_TH1" localSheetId="0">#REF!</definedName>
    <definedName name="_TH1" localSheetId="1">#REF!</definedName>
    <definedName name="_TH1" localSheetId="5">#REF!</definedName>
    <definedName name="_TH1">#REF!</definedName>
    <definedName name="_TH2" localSheetId="0">#REF!</definedName>
    <definedName name="_TH2" localSheetId="1">#REF!</definedName>
    <definedName name="_TH2" localSheetId="5">#REF!</definedName>
    <definedName name="_TH2">#REF!</definedName>
    <definedName name="_TH3" localSheetId="0">#REF!</definedName>
    <definedName name="_TH3" localSheetId="1">#REF!</definedName>
    <definedName name="_TH3" localSheetId="5">#REF!</definedName>
    <definedName name="_TH3">#REF!</definedName>
    <definedName name="_TK155">#REF!</definedName>
    <definedName name="_TK422">#REF!</definedName>
    <definedName name="_TL1">#REF!</definedName>
    <definedName name="_TL2">#REF!</definedName>
    <definedName name="_TL3">#REF!</definedName>
    <definedName name="_TLA120">#REF!</definedName>
    <definedName name="_TLA35">#REF!</definedName>
    <definedName name="_TLA50">#REF!</definedName>
    <definedName name="_TLA70">#REF!</definedName>
    <definedName name="_TLA95">#REF!</definedName>
    <definedName name="_Tru21" localSheetId="5" hidden="1">{"'Sheet1'!$L$16"}</definedName>
    <definedName name="_Tru21" hidden="1">{"'Sheet1'!$L$16"}</definedName>
    <definedName name="_tt3" localSheetId="9" hidden="1">{"'Sheet1'!$L$16"}</definedName>
    <definedName name="_tt3" localSheetId="0" hidden="1">{"'Sheet1'!$L$16"}</definedName>
    <definedName name="_tt3" localSheetId="1" hidden="1">{"'Sheet1'!$L$16"}</definedName>
    <definedName name="_tt3" localSheetId="5" hidden="1">{"'Sheet1'!$L$16"}</definedName>
    <definedName name="_tt3" hidden="1">{"'Sheet1'!$L$16"}</definedName>
    <definedName name="_TT31" localSheetId="9" hidden="1">{"'Sheet1'!$L$16"}</definedName>
    <definedName name="_TT31" localSheetId="0" hidden="1">{"'Sheet1'!$L$16"}</definedName>
    <definedName name="_TT31" localSheetId="1" hidden="1">{"'Sheet1'!$L$16"}</definedName>
    <definedName name="_TT31" localSheetId="5" hidden="1">{"'Sheet1'!$L$16"}</definedName>
    <definedName name="_TT31" hidden="1">{"'Sheet1'!$L$16"}</definedName>
    <definedName name="_VL100">#REF!</definedName>
    <definedName name="_vl2" localSheetId="9" hidden="1">{"'Sheet1'!$L$16"}</definedName>
    <definedName name="_vl2" localSheetId="0" hidden="1">{"'Sheet1'!$L$16"}</definedName>
    <definedName name="_vl2" localSheetId="1" hidden="1">{"'Sheet1'!$L$16"}</definedName>
    <definedName name="_vl2" localSheetId="5" hidden="1">{"'Sheet1'!$L$16"}</definedName>
    <definedName name="_vl2" hidden="1">{"'Sheet1'!$L$16"}</definedName>
    <definedName name="_VL250">#REF!</definedName>
    <definedName name="_VM2" localSheetId="5" hidden="1">{"'Sheet1'!$L$16"}</definedName>
    <definedName name="_VM2" hidden="1">{"'Sheet1'!$L$16"}</definedName>
    <definedName name="â" localSheetId="5" hidden="1">{"'Sheet1'!$L$16"}</definedName>
    <definedName name="â" hidden="1">{"'Sheet1'!$L$16"}</definedName>
    <definedName name="A01_">#N/A</definedName>
    <definedName name="A01AC">#N/A</definedName>
    <definedName name="A01CAT">#N/A</definedName>
    <definedName name="A01CODE">#N/A</definedName>
    <definedName name="A01DATA">#N/A</definedName>
    <definedName name="A01MI">#N/A</definedName>
    <definedName name="A01TO">#N/A</definedName>
    <definedName name="A120_" localSheetId="0">#REF!</definedName>
    <definedName name="A120_" localSheetId="1">#REF!</definedName>
    <definedName name="A120_" localSheetId="5">#REF!</definedName>
    <definedName name="A120_">#REF!</definedName>
    <definedName name="a277Print_Titles" localSheetId="0">#REF!</definedName>
    <definedName name="a277Print_Titles" localSheetId="1">#REF!</definedName>
    <definedName name="a277Print_Titles" localSheetId="5">#REF!</definedName>
    <definedName name="a277Print_Titles">#REF!</definedName>
    <definedName name="A35_" localSheetId="0">#REF!</definedName>
    <definedName name="A35_" localSheetId="1">#REF!</definedName>
    <definedName name="A35_" localSheetId="5">#REF!</definedName>
    <definedName name="A35_">#REF!</definedName>
    <definedName name="A50_">#REF!</definedName>
    <definedName name="A6N2">#REF!</definedName>
    <definedName name="A6N3">#REF!</definedName>
    <definedName name="A70_">#REF!</definedName>
    <definedName name="A95_">#REF!</definedName>
    <definedName name="aa">#REF!</definedName>
    <definedName name="abc">#REF!</definedName>
    <definedName name="AC120_">#REF!</definedName>
    <definedName name="AC35_">#REF!</definedName>
    <definedName name="AC50_">#REF!</definedName>
    <definedName name="AC70_">#REF!</definedName>
    <definedName name="AC95_">#REF!</definedName>
    <definedName name="acb">[2]gvl!$N$38</definedName>
    <definedName name="ADADADD" localSheetId="9" hidden="1">{"'Sheet1'!$L$16"}</definedName>
    <definedName name="ADADADD" localSheetId="0" hidden="1">{"'Sheet1'!$L$16"}</definedName>
    <definedName name="ADADADD" localSheetId="1" hidden="1">{"'Sheet1'!$L$16"}</definedName>
    <definedName name="ADADADD" localSheetId="5" hidden="1">{"'Sheet1'!$L$16"}</definedName>
    <definedName name="ADADADD" hidden="1">{"'Sheet1'!$L$16"}</definedName>
    <definedName name="ADAY">#REF!</definedName>
    <definedName name="âdf" localSheetId="5">{"Book5","sæ quü.xls","Dù to¸n x©y dùng nhµ s¶n xuÊt.xls","Than.xls","TiÕn ®é s¶n xuÊt - Th¸ng 9.xls"}</definedName>
    <definedName name="âdf">{"Book5","sæ quü.xls","Dù to¸n x©y dùng nhµ s¶n xuÊt.xls","Than.xls","TiÕn ®é s¶n xuÊt - Th¸ng 9.xls"}</definedName>
    <definedName name="ADP" localSheetId="0">#REF!</definedName>
    <definedName name="ADP" localSheetId="1">#REF!</definedName>
    <definedName name="ADP" localSheetId="5">#REF!</definedName>
    <definedName name="ADP">#REF!</definedName>
    <definedName name="AKHAC" localSheetId="0">#REF!</definedName>
    <definedName name="AKHAC" localSheetId="1">#REF!</definedName>
    <definedName name="AKHAC" localSheetId="5">#REF!</definedName>
    <definedName name="AKHAC">#REF!</definedName>
    <definedName name="All_Item" localSheetId="0">#REF!</definedName>
    <definedName name="All_Item" localSheetId="1">#REF!</definedName>
    <definedName name="All_Item" localSheetId="5">#REF!</definedName>
    <definedName name="All_Item">#REF!</definedName>
    <definedName name="ALPIN">#N/A</definedName>
    <definedName name="ALPJYOU">#N/A</definedName>
    <definedName name="ALPTOI">#N/A</definedName>
    <definedName name="ALTINH" localSheetId="0">#REF!</definedName>
    <definedName name="ALTINH" localSheetId="1">#REF!</definedName>
    <definedName name="ALTINH" localSheetId="5">#REF!</definedName>
    <definedName name="ALTINH">#REF!</definedName>
    <definedName name="Anguon" localSheetId="0">#REF!</definedName>
    <definedName name="Anguon" localSheetId="1">#REF!</definedName>
    <definedName name="Anguon" localSheetId="5">#REF!</definedName>
    <definedName name="Anguon">#REF!</definedName>
    <definedName name="ANN" localSheetId="0">#REF!</definedName>
    <definedName name="ANN" localSheetId="1">#REF!</definedName>
    <definedName name="ANN" localSheetId="5">#REF!</definedName>
    <definedName name="ANN">#REF!</definedName>
    <definedName name="anpha">#REF!</definedName>
    <definedName name="ANQD">#REF!</definedName>
    <definedName name="ANQQH">#REF!</definedName>
    <definedName name="anscount" hidden="1">3</definedName>
    <definedName name="ANSNN" localSheetId="0">#REF!</definedName>
    <definedName name="ANSNN" localSheetId="1">#REF!</definedName>
    <definedName name="ANSNN" localSheetId="5">#REF!</definedName>
    <definedName name="ANSNN">#REF!</definedName>
    <definedName name="ANSNNxnk" localSheetId="0">#REF!</definedName>
    <definedName name="ANSNNxnk" localSheetId="1">#REF!</definedName>
    <definedName name="ANSNNxnk" localSheetId="5">#REF!</definedName>
    <definedName name="ANSNNxnk">#REF!</definedName>
    <definedName name="APC" localSheetId="0">#REF!</definedName>
    <definedName name="APC" localSheetId="1">#REF!</definedName>
    <definedName name="APC" localSheetId="5">#REF!</definedName>
    <definedName name="APC">#REF!</definedName>
    <definedName name="asega" localSheetId="5">{"Thuxm2.xls","Sheet1"}</definedName>
    <definedName name="asega">{"Thuxm2.xls","Sheet1"}</definedName>
    <definedName name="ATGT" localSheetId="5" hidden="1">{"'Sheet1'!$L$16"}</definedName>
    <definedName name="ATGT" hidden="1">{"'Sheet1'!$L$16"}</definedName>
    <definedName name="ATRAM">#REF!</definedName>
    <definedName name="ATW">#REF!</definedName>
    <definedName name="B.nuamat">7.25</definedName>
    <definedName name="b_240">#REF!</definedName>
    <definedName name="b_280">#REF!</definedName>
    <definedName name="b_320">#REF!</definedName>
    <definedName name="BANG_CHI_TIET_THI_NGHIEM_CONG_TO">#REF!</definedName>
    <definedName name="BANG_CHI_TIET_THI_NGHIEM_DZ0.4KV">#REF!</definedName>
    <definedName name="Bang_cly">#REF!</definedName>
    <definedName name="Bang_CVC">#REF!</definedName>
    <definedName name="bang_gia">#REF!</definedName>
    <definedName name="BANG_TONG_HOP_CONG_TO">#REF!</definedName>
    <definedName name="BANG_TONG_HOP_DZ0.4KV">#REF!</definedName>
    <definedName name="BANG_TONG_HOP_DZ22KV">#REF!</definedName>
    <definedName name="BANG_TONG_HOP_KHO_BAI">#REF!</definedName>
    <definedName name="BANG_TONG_HOP_TBA">#REF!</definedName>
    <definedName name="Bang_travl">#REF!</definedName>
    <definedName name="bangchu">#REF!</definedName>
    <definedName name="bb" localSheetId="9">{"Thuxm2.xls","Sheet1"}</definedName>
    <definedName name="bb" localSheetId="0">{"Thuxm2.xls","Sheet1"}</definedName>
    <definedName name="bb" localSheetId="1">{"Thuxm2.xls","Sheet1"}</definedName>
    <definedName name="bb" localSheetId="5">{"Thuxm2.xls","Sheet1"}</definedName>
    <definedName name="bb">{"Thuxm2.xls","Sheet1"}</definedName>
    <definedName name="BCBo" localSheetId="9" hidden="1">{"'Sheet1'!$L$16"}</definedName>
    <definedName name="BCBo" localSheetId="0" hidden="1">{"'Sheet1'!$L$16"}</definedName>
    <definedName name="BCBo" localSheetId="1" hidden="1">{"'Sheet1'!$L$16"}</definedName>
    <definedName name="BCBo" localSheetId="5" hidden="1">{"'Sheet1'!$L$16"}</definedName>
    <definedName name="BCBo" hidden="1">{"'Sheet1'!$L$16"}</definedName>
    <definedName name="BDAY">#REF!</definedName>
    <definedName name="bdd">1.5</definedName>
    <definedName name="beepsound">#REF!</definedName>
    <definedName name="bengam">#REF!</definedName>
    <definedName name="benuoc">#REF!</definedName>
    <definedName name="beta">#REF!</definedName>
    <definedName name="blkh">#REF!</definedName>
    <definedName name="blkh1">#REF!</definedName>
    <definedName name="boa">[2]gvl!$N$17</definedName>
    <definedName name="Book2" localSheetId="0">#REF!</definedName>
    <definedName name="Book2" localSheetId="1">#REF!</definedName>
    <definedName name="Book2" localSheetId="5">#REF!</definedName>
    <definedName name="Book2">#REF!</definedName>
    <definedName name="BOQ" localSheetId="0">#REF!</definedName>
    <definedName name="BOQ" localSheetId="1">#REF!</definedName>
    <definedName name="BOQ" localSheetId="5">#REF!</definedName>
    <definedName name="BOQ">#REF!</definedName>
    <definedName name="btchiuaxitm300" localSheetId="0">#REF!</definedName>
    <definedName name="btchiuaxitm300" localSheetId="1">#REF!</definedName>
    <definedName name="btchiuaxitm300" localSheetId="5">#REF!</definedName>
    <definedName name="btchiuaxitm300">#REF!</definedName>
    <definedName name="BTchiuaxm200">#REF!</definedName>
    <definedName name="btcocM400">#REF!</definedName>
    <definedName name="BTlotm100">#REF!</definedName>
    <definedName name="btnm3" localSheetId="5" hidden="1">{"'Sheet1'!$L$16"}</definedName>
    <definedName name="btnm3" hidden="1">{"'Sheet1'!$L$16"}</definedName>
    <definedName name="BTRAM">#REF!</definedName>
    <definedName name="BU_CHENH_LECH_DZ0.4KV">#REF!</definedName>
    <definedName name="BU_CHENH_LECH_DZ22KV">#REF!</definedName>
    <definedName name="BU_CHENH_LECH_TBA">#REF!</definedName>
    <definedName name="Bulongma">8700</definedName>
    <definedName name="BVCISUMMARY" localSheetId="0">#REF!</definedName>
    <definedName name="BVCISUMMARY" localSheetId="1">#REF!</definedName>
    <definedName name="BVCISUMMARY" localSheetId="5">#REF!</definedName>
    <definedName name="BVCISUMMARY">#REF!</definedName>
    <definedName name="BŸo_cŸo_täng_hìp_giŸ_trÙ_t_i_s_n_câ__Ùnh" localSheetId="0">#REF!</definedName>
    <definedName name="BŸo_cŸo_täng_hìp_giŸ_trÙ_t_i_s_n_câ__Ùnh" localSheetId="1">#REF!</definedName>
    <definedName name="BŸo_cŸo_täng_hìp_giŸ_trÙ_t_i_s_n_câ__Ùnh" localSheetId="5">#REF!</definedName>
    <definedName name="BŸo_cŸo_täng_hìp_giŸ_trÙ_t_i_s_n_câ__Ùnh">#REF!</definedName>
    <definedName name="C.1.1..Phat_tuyen" localSheetId="0">#REF!</definedName>
    <definedName name="C.1.1..Phat_tuyen" localSheetId="1">#REF!</definedName>
    <definedName name="C.1.1..Phat_tuyen" localSheetId="5">#REF!</definedName>
    <definedName name="C.1.1..Phat_tuyen">#REF!</definedName>
    <definedName name="C.1.10..VC_Thu_cong_CG">#REF!</definedName>
    <definedName name="C.1.2..Chat_cay_thu_cong">#REF!</definedName>
    <definedName name="C.1.3..Chat_cay_may">#REF!</definedName>
    <definedName name="C.1.4..Dao_goc_cay">#REF!</definedName>
    <definedName name="C.1.5..Lam_duong_tam">#REF!</definedName>
    <definedName name="C.1.6..Lam_cau_tam">#REF!</definedName>
    <definedName name="C.1.7..Rai_da_chong_lun">#REF!</definedName>
    <definedName name="C.1.8..Lam_kho_tam">#REF!</definedName>
    <definedName name="C.1.8..San_mat_bang">#REF!</definedName>
    <definedName name="C.2.1..VC_Thu_cong">#REF!</definedName>
    <definedName name="C.2.2..VC_T_cong_CG">#REF!</definedName>
    <definedName name="C.2.3..Boc_do">#REF!</definedName>
    <definedName name="C.3.1..Dao_dat_mong_cot">#REF!</definedName>
    <definedName name="C.3.2..Dao_dat_de_dap">#REF!</definedName>
    <definedName name="C.3.3..Dap_dat_mong">#REF!</definedName>
    <definedName name="C.3.4..Dao_dap_TDia">#REF!</definedName>
    <definedName name="C.3.5..Dap_bo_bao">#REF!</definedName>
    <definedName name="C.3.6..Bom_tat_nuoc">#REF!</definedName>
    <definedName name="C.3.7..Dao_bun">#REF!</definedName>
    <definedName name="C.3.8..Dap_cat_CT">#REF!</definedName>
    <definedName name="C.3.9..Dao_pha_da">#REF!</definedName>
    <definedName name="C.4.1.Cot_thep">#REF!</definedName>
    <definedName name="C.4.2..Van_khuon">#REF!</definedName>
    <definedName name="C.4.3..Be_tong">#REF!</definedName>
    <definedName name="C.4.4..Lap_BT_D.San">#REF!</definedName>
    <definedName name="C.4.5..Xay_da_hoc">#REF!</definedName>
    <definedName name="C.4.6..Dong_coc">#REF!</definedName>
    <definedName name="C.4.7..Quet_Bi_tum">#REF!</definedName>
    <definedName name="C.5.1..Lap_cot_thep">#REF!</definedName>
    <definedName name="C.5.2..Lap_cot_BT">#REF!</definedName>
    <definedName name="C.5.3..Lap_dat_xa">#REF!</definedName>
    <definedName name="C.5.4..Lap_tiep_dia">#REF!</definedName>
    <definedName name="C.5.5..Son_sat_thep">#REF!</definedName>
    <definedName name="C.6.1..Lap_su_dung">#REF!</definedName>
    <definedName name="C.6.2..Lap_su_CS">#REF!</definedName>
    <definedName name="C.6.3..Su_chuoi_do">#REF!</definedName>
    <definedName name="C.6.4..Su_chuoi_neo">#REF!</definedName>
    <definedName name="C.6.5..Lap_phu_kien">#REF!</definedName>
    <definedName name="C.6.6..Ep_noi_day">#REF!</definedName>
    <definedName name="C.6.7..KD_vuot_CN">#REF!</definedName>
    <definedName name="C.6.8..Rai_cang_day">#REF!</definedName>
    <definedName name="C.6.9..Cap_quang">#REF!</definedName>
    <definedName name="C.doc1">540</definedName>
    <definedName name="C.doc2">740</definedName>
    <definedName name="ca.1111" localSheetId="0">#REF!</definedName>
    <definedName name="ca.1111" localSheetId="1">#REF!</definedName>
    <definedName name="ca.1111" localSheetId="5">#REF!</definedName>
    <definedName name="ca.1111">#REF!</definedName>
    <definedName name="ca.1111.th" localSheetId="0">#REF!</definedName>
    <definedName name="ca.1111.th" localSheetId="1">#REF!</definedName>
    <definedName name="ca.1111.th" localSheetId="5">#REF!</definedName>
    <definedName name="ca.1111.th">#REF!</definedName>
    <definedName name="CACAU">298161</definedName>
    <definedName name="Can_doi" localSheetId="0">#REF!</definedName>
    <definedName name="Can_doi" localSheetId="1">#REF!</definedName>
    <definedName name="Can_doi" localSheetId="5">#REF!</definedName>
    <definedName name="Can_doi">#REF!</definedName>
    <definedName name="cao">#REF!</definedName>
    <definedName name="cap">#REF!</definedName>
    <definedName name="cap0.7">#REF!</definedName>
    <definedName name="Cat">#REF!</definedName>
    <definedName name="Category_All">#REF!</definedName>
    <definedName name="CATIN">#N/A</definedName>
    <definedName name="CATJYOU">#N/A</definedName>
    <definedName name="catm" localSheetId="0">#REF!</definedName>
    <definedName name="catm" localSheetId="1">#REF!</definedName>
    <definedName name="catm" localSheetId="5">#REF!</definedName>
    <definedName name="catm">#REF!</definedName>
    <definedName name="catn" localSheetId="0">#REF!</definedName>
    <definedName name="catn" localSheetId="1">#REF!</definedName>
    <definedName name="catn" localSheetId="5">#REF!</definedName>
    <definedName name="catn">#REF!</definedName>
    <definedName name="CATREC">#N/A</definedName>
    <definedName name="CATSYU">#N/A</definedName>
    <definedName name="catvang" localSheetId="0">#REF!</definedName>
    <definedName name="catvang" localSheetId="1">#REF!</definedName>
    <definedName name="catvang" localSheetId="5">#REF!</definedName>
    <definedName name="catvang">#REF!</definedName>
    <definedName name="CCS" localSheetId="0">#REF!</definedName>
    <definedName name="CCS" localSheetId="1">#REF!</definedName>
    <definedName name="CCS" localSheetId="5">#REF!</definedName>
    <definedName name="CCS">#REF!</definedName>
    <definedName name="CDAY" localSheetId="0">#REF!</definedName>
    <definedName name="CDAY" localSheetId="1">#REF!</definedName>
    <definedName name="CDAY" localSheetId="5">#REF!</definedName>
    <definedName name="CDAY">#REF!</definedName>
    <definedName name="CDD">#REF!</definedName>
    <definedName name="CDDD">#REF!</definedName>
    <definedName name="CDDD1P">#REF!</definedName>
    <definedName name="CDDD1PHA">#REF!</definedName>
    <definedName name="CDDD3PHA">#REF!</definedName>
    <definedName name="Cdnum">#REF!</definedName>
    <definedName name="CDTK_tim">31.77</definedName>
    <definedName name="cf" localSheetId="5">BlankMacro1</definedName>
    <definedName name="cf">BlankMacro1</definedName>
    <definedName name="CH" localSheetId="0">#REF!</definedName>
    <definedName name="CH" localSheetId="1">#REF!</definedName>
    <definedName name="CH" localSheetId="5">#REF!</definedName>
    <definedName name="CH">#REF!</definedName>
    <definedName name="chie" localSheetId="5">BlankMacro1</definedName>
    <definedName name="chie">BlankMacro1</definedName>
    <definedName name="chitietbgiang2" localSheetId="5" hidden="1">{"'Sheet1'!$L$16"}</definedName>
    <definedName name="chitietbgiang2" hidden="1">{"'Sheet1'!$L$16"}</definedName>
    <definedName name="chon">#REF!</definedName>
    <definedName name="chon1">#REF!</definedName>
    <definedName name="chon2">#REF!</definedName>
    <definedName name="chon3">#REF!</definedName>
    <definedName name="chung">66</definedName>
    <definedName name="CK" localSheetId="0">#REF!</definedName>
    <definedName name="CK" localSheetId="1">#REF!</definedName>
    <definedName name="CK" localSheetId="5">#REF!</definedName>
    <definedName name="CK">#REF!</definedName>
    <definedName name="CL" localSheetId="0">#REF!</definedName>
    <definedName name="CL" localSheetId="1">#REF!</definedName>
    <definedName name="CL" localSheetId="5">#REF!</definedName>
    <definedName name="CL">#REF!</definedName>
    <definedName name="CLECH_0.4" localSheetId="0">#REF!</definedName>
    <definedName name="CLECH_0.4" localSheetId="1">#REF!</definedName>
    <definedName name="CLECH_0.4" localSheetId="5">#REF!</definedName>
    <definedName name="CLECH_0.4">#REF!</definedName>
    <definedName name="CLVC3">0.1</definedName>
    <definedName name="CLVC35" localSheetId="0">#REF!</definedName>
    <definedName name="CLVC35" localSheetId="1">#REF!</definedName>
    <definedName name="CLVC35" localSheetId="5">#REF!</definedName>
    <definedName name="CLVC35">#REF!</definedName>
    <definedName name="CLVCTB" localSheetId="0">#REF!</definedName>
    <definedName name="CLVCTB" localSheetId="1">#REF!</definedName>
    <definedName name="CLVCTB" localSheetId="5">#REF!</definedName>
    <definedName name="CLVCTB">#REF!</definedName>
    <definedName name="clvl" localSheetId="0">#REF!</definedName>
    <definedName name="clvl" localSheetId="1">#REF!</definedName>
    <definedName name="clvl" localSheetId="5">#REF!</definedName>
    <definedName name="clvl">#REF!</definedName>
    <definedName name="cn">#REF!</definedName>
    <definedName name="CNC">#REF!</definedName>
    <definedName name="CND">#REF!</definedName>
    <definedName name="CNG">#REF!</definedName>
    <definedName name="Co">#REF!</definedName>
    <definedName name="coc">#REF!</definedName>
    <definedName name="Coc_60" localSheetId="5" hidden="1">{"'Sheet1'!$L$16"}</definedName>
    <definedName name="Coc_60" hidden="1">{"'Sheet1'!$L$16"}</definedName>
    <definedName name="cocbtct">#REF!</definedName>
    <definedName name="cocot">#REF!</definedName>
    <definedName name="cocott">#REF!</definedName>
    <definedName name="Code" hidden="1">#REF!</definedName>
    <definedName name="Cöï_ly_vaän_chuyeãn">#REF!</definedName>
    <definedName name="CÖÏ_LY_VAÄN_CHUYEÅN">#REF!</definedName>
    <definedName name="Comm" localSheetId="5">BlankMacro1</definedName>
    <definedName name="Comm">BlankMacro1</definedName>
    <definedName name="COMMON" localSheetId="0">#REF!</definedName>
    <definedName name="COMMON" localSheetId="1">#REF!</definedName>
    <definedName name="COMMON" localSheetId="5">#REF!</definedName>
    <definedName name="COMMON">#REF!</definedName>
    <definedName name="comong" localSheetId="0">#REF!</definedName>
    <definedName name="comong" localSheetId="1">#REF!</definedName>
    <definedName name="comong" localSheetId="5">#REF!</definedName>
    <definedName name="comong">#REF!</definedName>
    <definedName name="CON_EQP_COS" localSheetId="0">#REF!</definedName>
    <definedName name="CON_EQP_COS" localSheetId="1">#REF!</definedName>
    <definedName name="CON_EQP_COS" localSheetId="5">#REF!</definedName>
    <definedName name="CON_EQP_COS">#REF!</definedName>
    <definedName name="CON_EQP_COST">#REF!</definedName>
    <definedName name="công" localSheetId="9" hidden="1">{"'Sheet1'!$L$16"}</definedName>
    <definedName name="công" localSheetId="0" hidden="1">{"'Sheet1'!$L$16"}</definedName>
    <definedName name="công" localSheetId="1" hidden="1">{"'Sheet1'!$L$16"}</definedName>
    <definedName name="công" localSheetId="5" hidden="1">{"'Sheet1'!$L$16"}</definedName>
    <definedName name="công" hidden="1">{"'Sheet1'!$L$16"}</definedName>
    <definedName name="Cong_HM_DTCT">#REF!</definedName>
    <definedName name="Cong_M_DTCT">#REF!</definedName>
    <definedName name="Cong_NC_DTCT">#REF!</definedName>
    <definedName name="Cong_VL_DTCT">#REF!</definedName>
    <definedName name="congbengam">#REF!</definedName>
    <definedName name="congbenuoc">#REF!</definedName>
    <definedName name="congcoc">#REF!</definedName>
    <definedName name="congcocot">#REF!</definedName>
    <definedName name="congcocott">#REF!</definedName>
    <definedName name="congcomong">#REF!</definedName>
    <definedName name="congcottron">#REF!</definedName>
    <definedName name="congcotvuong">#REF!</definedName>
    <definedName name="congdam">#REF!</definedName>
    <definedName name="congdan1">#REF!</definedName>
    <definedName name="congdan2">#REF!</definedName>
    <definedName name="congdandusan">#REF!</definedName>
    <definedName name="conglanhto">#REF!</definedName>
    <definedName name="congmong">#REF!</definedName>
    <definedName name="congmongbang">#REF!</definedName>
    <definedName name="congmongdon">#REF!</definedName>
    <definedName name="congpanen">#REF!</definedName>
    <definedName name="congsan">#REF!</definedName>
    <definedName name="congthang">#REF!</definedName>
    <definedName name="CongVattu">#REF!</definedName>
    <definedName name="CONST_EQ">#REF!</definedName>
    <definedName name="Content1" localSheetId="5">ErrorHandler_1</definedName>
    <definedName name="Content1">ErrorHandler_1</definedName>
    <definedName name="COT" localSheetId="0">#REF!</definedName>
    <definedName name="COT" localSheetId="1">#REF!</definedName>
    <definedName name="COT" localSheetId="5">#REF!</definedName>
    <definedName name="COT">#REF!</definedName>
    <definedName name="cot7.5" localSheetId="0">#REF!</definedName>
    <definedName name="cot7.5" localSheetId="1">#REF!</definedName>
    <definedName name="cot7.5" localSheetId="5">#REF!</definedName>
    <definedName name="cot7.5">#REF!</definedName>
    <definedName name="cot8.5" localSheetId="0">#REF!</definedName>
    <definedName name="cot8.5" localSheetId="1">#REF!</definedName>
    <definedName name="cot8.5" localSheetId="5">#REF!</definedName>
    <definedName name="cot8.5">#REF!</definedName>
    <definedName name="Cotsatma">9726</definedName>
    <definedName name="Cotthepma">9726</definedName>
    <definedName name="cottron" localSheetId="0">#REF!</definedName>
    <definedName name="cottron" localSheetId="1">#REF!</definedName>
    <definedName name="cottron" localSheetId="5">#REF!</definedName>
    <definedName name="cottron">#REF!</definedName>
    <definedName name="cotvuong" localSheetId="0">#REF!</definedName>
    <definedName name="cotvuong" localSheetId="1">#REF!</definedName>
    <definedName name="cotvuong" localSheetId="5">#REF!</definedName>
    <definedName name="cotvuong">#REF!</definedName>
    <definedName name="COVER" localSheetId="0">#REF!</definedName>
    <definedName name="COVER" localSheetId="1">#REF!</definedName>
    <definedName name="COVER" localSheetId="5">#REF!</definedName>
    <definedName name="COVER">#REF!</definedName>
    <definedName name="cpmtc">#REF!</definedName>
    <definedName name="cpnc">#REF!</definedName>
    <definedName name="cptt">#REF!</definedName>
    <definedName name="CPVC35">#REF!</definedName>
    <definedName name="CPVCDN">#REF!</definedName>
    <definedName name="cpvl">#REF!</definedName>
    <definedName name="CRD">#REF!</definedName>
    <definedName name="CRITINST">#REF!</definedName>
    <definedName name="CRITPURC">#REF!</definedName>
    <definedName name="CRS">#REF!</definedName>
    <definedName name="CS">#REF!</definedName>
    <definedName name="CS_10">#REF!</definedName>
    <definedName name="CS_100">#REF!</definedName>
    <definedName name="CS_10S">#REF!</definedName>
    <definedName name="CS_120">#REF!</definedName>
    <definedName name="CS_140">#REF!</definedName>
    <definedName name="CS_160">#REF!</definedName>
    <definedName name="CS_20">#REF!</definedName>
    <definedName name="CS_30">#REF!</definedName>
    <definedName name="CS_40">#REF!</definedName>
    <definedName name="CS_40S">#REF!</definedName>
    <definedName name="CS_5S">#REF!</definedName>
    <definedName name="CS_60">#REF!</definedName>
    <definedName name="CS_80">#REF!</definedName>
    <definedName name="CS_80S">#REF!</definedName>
    <definedName name="CS_STD">#REF!</definedName>
    <definedName name="CS_XS">#REF!</definedName>
    <definedName name="CS_XXS">#REF!</definedName>
    <definedName name="csd3p">#REF!</definedName>
    <definedName name="csddg1p">#REF!</definedName>
    <definedName name="csddt1p">#REF!</definedName>
    <definedName name="csht3p">#REF!</definedName>
    <definedName name="CTCT1" localSheetId="9" hidden="1">{"'Sheet1'!$L$16"}</definedName>
    <definedName name="CTCT1" localSheetId="0" hidden="1">{"'Sheet1'!$L$16"}</definedName>
    <definedName name="CTCT1" localSheetId="1" hidden="1">{"'Sheet1'!$L$16"}</definedName>
    <definedName name="CTCT1" localSheetId="5" hidden="1">{"'Sheet1'!$L$16"}</definedName>
    <definedName name="CTCT1" hidden="1">{"'Sheet1'!$L$16"}</definedName>
    <definedName name="ctdn9697">#REF!</definedName>
    <definedName name="ctiep">#REF!</definedName>
    <definedName name="CTIET">#REF!</definedName>
    <definedName name="CTRAM">#REF!</definedName>
    <definedName name="CU_LY_VAN_CHUYEN_GIA_QUYEN">#REF!</definedName>
    <definedName name="CU_LY_VAN_CHUYEN_THU_CONG">#REF!</definedName>
    <definedName name="CURRENCY">#REF!</definedName>
    <definedName name="cv">[2]gvl!$N$17</definedName>
    <definedName name="CV.1">[2]gvl!$N$17</definedName>
    <definedName name="cx" localSheetId="0">#REF!</definedName>
    <definedName name="cx" localSheetId="1">#REF!</definedName>
    <definedName name="cx" localSheetId="5">#REF!</definedName>
    <definedName name="cx">#REF!</definedName>
    <definedName name="Ð" localSheetId="5">BlankMacro1</definedName>
    <definedName name="Ð">BlankMacro1</definedName>
    <definedName name="D_7101A_B" localSheetId="0">#REF!</definedName>
    <definedName name="D_7101A_B" localSheetId="1">#REF!</definedName>
    <definedName name="D_7101A_B" localSheetId="5">#REF!</definedName>
    <definedName name="D_7101A_B">#REF!</definedName>
    <definedName name="da1x2" localSheetId="0">#REF!</definedName>
    <definedName name="da1x2" localSheetId="1">#REF!</definedName>
    <definedName name="da1x2" localSheetId="5">#REF!</definedName>
    <definedName name="da1x2">#REF!</definedName>
    <definedName name="dahoc" localSheetId="0">#REF!</definedName>
    <definedName name="dahoc" localSheetId="1">#REF!</definedName>
    <definedName name="dahoc" localSheetId="5">#REF!</definedName>
    <definedName name="dahoc">#REF!</definedName>
    <definedName name="dam">#REF!</definedName>
    <definedName name="danducsan">#REF!</definedName>
    <definedName name="dao">#REF!</definedName>
    <definedName name="DAT">#REF!</definedName>
    <definedName name="DATA_DATA2_List">#REF!</definedName>
    <definedName name="data1" hidden="1">#REF!</definedName>
    <definedName name="data2" hidden="1">#REF!</definedName>
    <definedName name="data3" hidden="1">#REF!</definedName>
    <definedName name="_xlnm.Database">#REF!</definedName>
    <definedName name="DATDAO">#REF!</definedName>
    <definedName name="DCL_22">12117600</definedName>
    <definedName name="DCL_35">25490000</definedName>
    <definedName name="dd" localSheetId="0">#REF!</definedName>
    <definedName name="dd" localSheetId="1">#REF!</definedName>
    <definedName name="dd" localSheetId="5">#REF!</definedName>
    <definedName name="dd">#REF!</definedName>
    <definedName name="dd1x2">[2]gvl!$N$9</definedName>
    <definedName name="dd1x2.">[2]gvl!$N$9</definedName>
    <definedName name="dd1x2.1">[2]gvl!$N$9</definedName>
    <definedName name="DDAY" localSheetId="0">#REF!</definedName>
    <definedName name="DDAY" localSheetId="1">#REF!</definedName>
    <definedName name="DDAY" localSheetId="5">#REF!</definedName>
    <definedName name="DDAY">#REF!</definedName>
    <definedName name="dddem">0.1</definedName>
    <definedName name="DDK" localSheetId="0">#REF!</definedName>
    <definedName name="DDK" localSheetId="1">#REF!</definedName>
    <definedName name="DDK" localSheetId="5">#REF!</definedName>
    <definedName name="DDK">#REF!</definedName>
    <definedName name="den_bu" localSheetId="0">#REF!</definedName>
    <definedName name="den_bu" localSheetId="1">#REF!</definedName>
    <definedName name="den_bu" localSheetId="5">#REF!</definedName>
    <definedName name="den_bu">#REF!</definedName>
    <definedName name="denbu" localSheetId="0">#REF!</definedName>
    <definedName name="denbu" localSheetId="1">#REF!</definedName>
    <definedName name="denbu" localSheetId="5">#REF!</definedName>
    <definedName name="denbu">#REF!</definedName>
    <definedName name="DenDK" localSheetId="5" hidden="1">{"'Sheet1'!$L$16"}</definedName>
    <definedName name="DenDK" hidden="1">{"'Sheet1'!$L$16"}</definedName>
    <definedName name="Det32x3">#REF!</definedName>
    <definedName name="Det35x3">#REF!</definedName>
    <definedName name="Det40x4">#REF!</definedName>
    <definedName name="Det50x5">#REF!</definedName>
    <definedName name="Det63x6">#REF!</definedName>
    <definedName name="Det75x6">#REF!</definedName>
    <definedName name="dfg" localSheetId="5" hidden="1">{"'Sheet1'!$L$16"}</definedName>
    <definedName name="dfg" hidden="1">{"'Sheet1'!$L$16"}</definedName>
    <definedName name="dgbdII">#REF!</definedName>
    <definedName name="DGCTI592">#REF!</definedName>
    <definedName name="dgctp2" localSheetId="9" hidden="1">{"'Sheet1'!$L$16"}</definedName>
    <definedName name="dgctp2" localSheetId="0" hidden="1">{"'Sheet1'!$L$16"}</definedName>
    <definedName name="dgctp2" localSheetId="1" hidden="1">{"'Sheet1'!$L$16"}</definedName>
    <definedName name="dgctp2" localSheetId="5" hidden="1">{"'Sheet1'!$L$16"}</definedName>
    <definedName name="dgctp2" hidden="1">{"'Sheet1'!$L$16"}</definedName>
    <definedName name="DGNC">#REF!</definedName>
    <definedName name="dgqndn">#REF!</definedName>
    <definedName name="DGTV">#REF!</definedName>
    <definedName name="dgvl">#REF!</definedName>
    <definedName name="DGVT">#REF!</definedName>
    <definedName name="dhom">#REF!</definedName>
    <definedName name="dien">#REF!</definedName>
    <definedName name="dientichck">#REF!</definedName>
    <definedName name="dinh2">#REF!</definedName>
    <definedName name="Discount" hidden="1">#REF!</definedName>
    <definedName name="display_area_2" hidden="1">#REF!</definedName>
    <definedName name="DLCC">#REF!</definedName>
    <definedName name="DM">#REF!</definedName>
    <definedName name="dm56bxd">#REF!</definedName>
    <definedName name="DN">#REF!</definedName>
    <definedName name="DNNN">#REF!</definedName>
    <definedName name="DÑt45x4">#REF!</definedName>
    <definedName name="doan1">#REF!</definedName>
    <definedName name="doan2">#REF!</definedName>
    <definedName name="doan3">#REF!</definedName>
    <definedName name="doan4">#REF!</definedName>
    <definedName name="doan5">#REF!</definedName>
    <definedName name="doan6">#REF!</definedName>
    <definedName name="dobt">#REF!</definedName>
    <definedName name="docdoc">0.03125</definedName>
    <definedName name="Document_array" localSheetId="9">{"Thuxm2.xls","Sheet1"}</definedName>
    <definedName name="Document_array" localSheetId="0">{"Thuxm2.xls","Sheet1"}</definedName>
    <definedName name="Document_array" localSheetId="1">{"Thuxm2.xls","Sheet1"}</definedName>
    <definedName name="Document_array" localSheetId="5">{"Thuxm2.xls","Sheet1"}</definedName>
    <definedName name="Document_array">{"Thuxm2.xls","Sheet1"}</definedName>
    <definedName name="DON_GIA_3282" localSheetId="0">#REF!</definedName>
    <definedName name="DON_GIA_3282" localSheetId="1">#REF!</definedName>
    <definedName name="DON_GIA_3282" localSheetId="5">#REF!</definedName>
    <definedName name="DON_GIA_3282">#REF!</definedName>
    <definedName name="DON_GIA_3283" localSheetId="0">#REF!</definedName>
    <definedName name="DON_GIA_3283" localSheetId="1">#REF!</definedName>
    <definedName name="DON_GIA_3283" localSheetId="5">#REF!</definedName>
    <definedName name="DON_GIA_3283">#REF!</definedName>
    <definedName name="DON_GIA_3285" localSheetId="0">#REF!</definedName>
    <definedName name="DON_GIA_3285" localSheetId="1">#REF!</definedName>
    <definedName name="DON_GIA_3285" localSheetId="5">#REF!</definedName>
    <definedName name="DON_GIA_3285">#REF!</definedName>
    <definedName name="DON_GIA_VAN_CHUYEN_36">#REF!</definedName>
    <definedName name="dongia">#REF!</definedName>
    <definedName name="Drawpoints">1</definedName>
    <definedName name="Drop1">"Drop Down 3"</definedName>
    <definedName name="DS1p1vc" localSheetId="0">#REF!</definedName>
    <definedName name="DS1p1vc" localSheetId="1">#REF!</definedName>
    <definedName name="DS1p1vc" localSheetId="5">#REF!</definedName>
    <definedName name="DS1p1vc">#REF!</definedName>
    <definedName name="ds1p2nc" localSheetId="0">#REF!</definedName>
    <definedName name="ds1p2nc" localSheetId="1">#REF!</definedName>
    <definedName name="ds1p2nc" localSheetId="5">#REF!</definedName>
    <definedName name="ds1p2nc">#REF!</definedName>
    <definedName name="ds1p2vc" localSheetId="0">#REF!</definedName>
    <definedName name="ds1p2vc" localSheetId="1">#REF!</definedName>
    <definedName name="ds1p2vc" localSheetId="5">#REF!</definedName>
    <definedName name="ds1p2vc">#REF!</definedName>
    <definedName name="ds1pnc">#REF!</definedName>
    <definedName name="ds1pvl">#REF!</definedName>
    <definedName name="ds3pctnc">#REF!</definedName>
    <definedName name="ds3pctvc">#REF!</definedName>
    <definedName name="ds3pctvl">#REF!</definedName>
    <definedName name="DSPK1p1nc">#REF!</definedName>
    <definedName name="DSPK1p1vl">#REF!</definedName>
    <definedName name="DSPK1pnc">#REF!</definedName>
    <definedName name="DSPK1pvl">#REF!</definedName>
    <definedName name="DSTD_Clear">#N/A</definedName>
    <definedName name="DSUMDATA" localSheetId="0">#REF!</definedName>
    <definedName name="DSUMDATA" localSheetId="1">#REF!</definedName>
    <definedName name="DSUMDATA" localSheetId="5">#REF!</definedName>
    <definedName name="DSUMDATA">#REF!</definedName>
    <definedName name="dthft" localSheetId="9" hidden="1">{"'Sheet1'!$L$16"}</definedName>
    <definedName name="dthft" localSheetId="0" hidden="1">{"'Sheet1'!$L$16"}</definedName>
    <definedName name="dthft" localSheetId="1" hidden="1">{"'Sheet1'!$L$16"}</definedName>
    <definedName name="dthft" localSheetId="5" hidden="1">{"'Sheet1'!$L$16"}</definedName>
    <definedName name="dthft" hidden="1">{"'Sheet1'!$L$16"}</definedName>
    <definedName name="dtich1">#REF!</definedName>
    <definedName name="dtich2">#REF!</definedName>
    <definedName name="dtich3">#REF!</definedName>
    <definedName name="dtich4">#REF!</definedName>
    <definedName name="dtich5">#REF!</definedName>
    <definedName name="dtich6">#REF!</definedName>
    <definedName name="DtrCuocPhun.1b">[4]NhanCong!$G$202</definedName>
    <definedName name="DtrCuocPhun.2b">[4]NhanCong!$G$203</definedName>
    <definedName name="DtrCuocPhun.4b">[4]NhanCong!$G$214</definedName>
    <definedName name="DtrHutCuoc300.2s">[4]NhanCong!$G$191</definedName>
    <definedName name="DU_TOAN_CHI_TIET_CONG_TO" localSheetId="0">#REF!</definedName>
    <definedName name="DU_TOAN_CHI_TIET_CONG_TO" localSheetId="1">#REF!</definedName>
    <definedName name="DU_TOAN_CHI_TIET_CONG_TO" localSheetId="5">#REF!</definedName>
    <definedName name="DU_TOAN_CHI_TIET_CONG_TO">#REF!</definedName>
    <definedName name="DU_TOAN_CHI_TIET_DZ22KV" localSheetId="0">#REF!</definedName>
    <definedName name="DU_TOAN_CHI_TIET_DZ22KV" localSheetId="1">#REF!</definedName>
    <definedName name="DU_TOAN_CHI_TIET_DZ22KV" localSheetId="5">#REF!</definedName>
    <definedName name="DU_TOAN_CHI_TIET_DZ22KV">#REF!</definedName>
    <definedName name="DU_TOAN_CHI_TIET_KHO_BAI" localSheetId="0">#REF!</definedName>
    <definedName name="DU_TOAN_CHI_TIET_KHO_BAI" localSheetId="1">#REF!</definedName>
    <definedName name="DU_TOAN_CHI_TIET_KHO_BAI" localSheetId="5">#REF!</definedName>
    <definedName name="DU_TOAN_CHI_TIET_KHO_BAI">#REF!</definedName>
    <definedName name="duaån">#REF!</definedName>
    <definedName name="duan">#REF!</definedName>
    <definedName name="DUCANH" localSheetId="9" hidden="1">{"'Sheet1'!$L$16"}</definedName>
    <definedName name="DUCANH" localSheetId="0" hidden="1">{"'Sheet1'!$L$16"}</definedName>
    <definedName name="DUCANH" localSheetId="1" hidden="1">{"'Sheet1'!$L$16"}</definedName>
    <definedName name="DUCANH" localSheetId="5" hidden="1">{"'Sheet1'!$L$16"}</definedName>
    <definedName name="DUCANH" hidden="1">{"'Sheet1'!$L$16"}</definedName>
    <definedName name="Dutoan2001">'[5]Tro giup'!$A$1</definedName>
    <definedName name="DutoanDongmo" localSheetId="0">#REF!</definedName>
    <definedName name="DutoanDongmo" localSheetId="1">#REF!</definedName>
    <definedName name="DutoanDongmo" localSheetId="5">#REF!</definedName>
    <definedName name="DutoanDongmo">#REF!</definedName>
    <definedName name="E.chandoc">8.875</definedName>
    <definedName name="E.PC">10.438</definedName>
    <definedName name="E.PVI">12</definedName>
    <definedName name="emb" localSheetId="0">#REF!</definedName>
    <definedName name="emb" localSheetId="1">#REF!</definedName>
    <definedName name="emb" localSheetId="5">#REF!</definedName>
    <definedName name="emb">#REF!</definedName>
    <definedName name="End_1" localSheetId="0">#REF!</definedName>
    <definedName name="End_1" localSheetId="1">#REF!</definedName>
    <definedName name="End_1" localSheetId="5">#REF!</definedName>
    <definedName name="End_1">#REF!</definedName>
    <definedName name="End_10" localSheetId="0">#REF!</definedName>
    <definedName name="End_10" localSheetId="1">#REF!</definedName>
    <definedName name="End_10" localSheetId="5">#REF!</definedName>
    <definedName name="End_10">#REF!</definedName>
    <definedName name="End_11">#REF!</definedName>
    <definedName name="End_12">#REF!</definedName>
    <definedName name="End_13">#REF!</definedName>
    <definedName name="End_2">#REF!</definedName>
    <definedName name="End_3">#REF!</definedName>
    <definedName name="End_4">#REF!</definedName>
    <definedName name="End_5">#REF!</definedName>
    <definedName name="End_6">#REF!</definedName>
    <definedName name="End_7">#REF!</definedName>
    <definedName name="End_8">#REF!</definedName>
    <definedName name="End_9">#REF!</definedName>
    <definedName name="ex">#REF!</definedName>
    <definedName name="_xlnm.Extract">#REF!</definedName>
    <definedName name="f">#REF!</definedName>
    <definedName name="FACTOR">#REF!</definedName>
    <definedName name="FCode" hidden="1">#REF!</definedName>
    <definedName name="FFF" localSheetId="5">BlankMacro1</definedName>
    <definedName name="FFF">BlankMacro1</definedName>
    <definedName name="FI_12">4820</definedName>
    <definedName name="FIT" localSheetId="5">BlankMacro1</definedName>
    <definedName name="FIT">BlankMacro1</definedName>
    <definedName name="FITT2" localSheetId="5">BlankMacro1</definedName>
    <definedName name="FITT2">BlankMacro1</definedName>
    <definedName name="FITTING2" localSheetId="5">BlankMacro1</definedName>
    <definedName name="FITTING2">BlankMacro1</definedName>
    <definedName name="FLG" localSheetId="5">BlankMacro1</definedName>
    <definedName name="FLG">BlankMacro1</definedName>
    <definedName name="foo" localSheetId="5">ErrorHandler_1</definedName>
    <definedName name="foo">ErrorHandler_1</definedName>
    <definedName name="fsdfdsf" localSheetId="9" hidden="1">{"'Sheet1'!$L$16"}</definedName>
    <definedName name="fsdfdsf" localSheetId="0" hidden="1">{"'Sheet1'!$L$16"}</definedName>
    <definedName name="fsdfdsf" localSheetId="1" hidden="1">{"'Sheet1'!$L$16"}</definedName>
    <definedName name="fsdfdsf" localSheetId="5" hidden="1">{"'Sheet1'!$L$16"}</definedName>
    <definedName name="fsdfdsf" hidden="1">{"'Sheet1'!$L$16"}</definedName>
    <definedName name="G_ME">#REF!</definedName>
    <definedName name="gach">#REF!</definedName>
    <definedName name="geo">#REF!</definedName>
    <definedName name="getrtertertert" localSheetId="5">BlankMacro1</definedName>
    <definedName name="getrtertertert">BlankMacro1</definedName>
    <definedName name="gg" localSheetId="0">#REF!</definedName>
    <definedName name="gg" localSheetId="1">#REF!</definedName>
    <definedName name="gg" localSheetId="5">#REF!</definedName>
    <definedName name="gg">#REF!</definedName>
    <definedName name="ghip" localSheetId="0">#REF!</definedName>
    <definedName name="ghip" localSheetId="1">#REF!</definedName>
    <definedName name="ghip" localSheetId="5">#REF!</definedName>
    <definedName name="ghip">#REF!</definedName>
    <definedName name="gi">0.4</definedName>
    <definedName name="gia" localSheetId="0">#REF!</definedName>
    <definedName name="gia" localSheetId="1">#REF!</definedName>
    <definedName name="gia" localSheetId="5">#REF!</definedName>
    <definedName name="gia">#REF!</definedName>
    <definedName name="Gia_CT" localSheetId="0">#REF!</definedName>
    <definedName name="Gia_CT" localSheetId="1">#REF!</definedName>
    <definedName name="Gia_CT" localSheetId="5">#REF!</definedName>
    <definedName name="Gia_CT">#REF!</definedName>
    <definedName name="GIA_CU_LY_VAN_CHUYEN" localSheetId="0">#REF!</definedName>
    <definedName name="GIA_CU_LY_VAN_CHUYEN" localSheetId="1">#REF!</definedName>
    <definedName name="GIA_CU_LY_VAN_CHUYEN" localSheetId="5">#REF!</definedName>
    <definedName name="GIA_CU_LY_VAN_CHUYEN">#REF!</definedName>
    <definedName name="gia_tien">#REF!</definedName>
    <definedName name="gia_tien_BTN">#REF!</definedName>
    <definedName name="Gia_VT">#REF!</definedName>
    <definedName name="GIAVLIEUTN">#REF!</definedName>
    <definedName name="Giocong">#REF!</definedName>
    <definedName name="gl3p">#REF!</definedName>
    <definedName name="Goc32x3">#REF!</definedName>
    <definedName name="Goc35x3">#REF!</definedName>
    <definedName name="Goc40x4">#REF!</definedName>
    <definedName name="Goc45x4">#REF!</definedName>
    <definedName name="Goc50x5">#REF!</definedName>
    <definedName name="Goc63x6">#REF!</definedName>
    <definedName name="Goc75x6">#REF!</definedName>
    <definedName name="Gtb">#REF!</definedName>
    <definedName name="gtbtt">#REF!</definedName>
    <definedName name="gtst">#REF!</definedName>
    <definedName name="GTXL">#REF!</definedName>
    <definedName name="Gxl">#REF!</definedName>
    <definedName name="gxltt">#REF!</definedName>
    <definedName name="h" localSheetId="9" hidden="1">{"'Sheet1'!$L$16"}</definedName>
    <definedName name="h" localSheetId="0" hidden="1">{"'Sheet1'!$L$16"}</definedName>
    <definedName name="h" localSheetId="1" hidden="1">{"'Sheet1'!$L$16"}</definedName>
    <definedName name="h" localSheetId="5" hidden="1">{"'Sheet1'!$L$16"}</definedName>
    <definedName name="h" hidden="1">{"'Sheet1'!$L$16"}</definedName>
    <definedName name="H_THUCHTHH">#REF!</definedName>
    <definedName name="H_THUCTT">#REF!</definedName>
    <definedName name="HANG" localSheetId="9" hidden="1">{#N/A,#N/A,FALSE,"Chi tiÆt"}</definedName>
    <definedName name="HANG" localSheetId="0" hidden="1">{#N/A,#N/A,FALSE,"Chi tiÆt"}</definedName>
    <definedName name="HANG" localSheetId="1" hidden="1">{#N/A,#N/A,FALSE,"Chi tiÆt"}</definedName>
    <definedName name="HANG" localSheetId="5" hidden="1">{#N/A,#N/A,FALSE,"Chi tiÆt"}</definedName>
    <definedName name="HANG" hidden="1">{#N/A,#N/A,FALSE,"Chi tiÆt"}</definedName>
    <definedName name="HCM" localSheetId="0">#REF!</definedName>
    <definedName name="HCM" localSheetId="1">#REF!</definedName>
    <definedName name="HCM" localSheetId="5">#REF!</definedName>
    <definedName name="HCM">#REF!</definedName>
    <definedName name="Hdao">0.3</definedName>
    <definedName name="Hdap">5.2</definedName>
    <definedName name="HE_SO_KHO_KHAN_CANG_DAY" localSheetId="0">#REF!</definedName>
    <definedName name="HE_SO_KHO_KHAN_CANG_DAY" localSheetId="1">#REF!</definedName>
    <definedName name="HE_SO_KHO_KHAN_CANG_DAY" localSheetId="5">#REF!</definedName>
    <definedName name="HE_SO_KHO_KHAN_CANG_DAY">#REF!</definedName>
    <definedName name="Heä_soá_laép_xaø_H">1.7</definedName>
    <definedName name="heä_soá_sình_laày" localSheetId="0">#REF!</definedName>
    <definedName name="heä_soá_sình_laày" localSheetId="1">#REF!</definedName>
    <definedName name="heä_soá_sình_laày" localSheetId="5">#REF!</definedName>
    <definedName name="heä_soá_sình_laày">#REF!</definedName>
    <definedName name="hh" localSheetId="0">#REF!</definedName>
    <definedName name="hh" localSheetId="1">#REF!</definedName>
    <definedName name="hh" localSheetId="5">#REF!</definedName>
    <definedName name="hh">#REF!</definedName>
    <definedName name="HHcat" localSheetId="0">#REF!</definedName>
    <definedName name="HHcat" localSheetId="1">#REF!</definedName>
    <definedName name="HHcat" localSheetId="5">#REF!</definedName>
    <definedName name="HHcat">#REF!</definedName>
    <definedName name="HHda">#REF!</definedName>
    <definedName name="hhh" localSheetId="5" hidden="1">{"'Sheet1'!$L$16"}</definedName>
    <definedName name="hhh" hidden="1">{"'Sheet1'!$L$16"}</definedName>
    <definedName name="HHTT">#REF!</definedName>
    <definedName name="HHUHOI">#N/A</definedName>
    <definedName name="HiddenRows" hidden="1">#REF!</definedName>
    <definedName name="hien" localSheetId="0">#REF!</definedName>
    <definedName name="hien" localSheetId="1">#REF!</definedName>
    <definedName name="hien" localSheetId="5">#REF!</definedName>
    <definedName name="hien">#REF!</definedName>
    <definedName name="HIHIHIHOI" localSheetId="9" hidden="1">{"'Sheet1'!$L$16"}</definedName>
    <definedName name="HIHIHIHOI" localSheetId="0" hidden="1">{"'Sheet1'!$L$16"}</definedName>
    <definedName name="HIHIHIHOI" localSheetId="1" hidden="1">{"'Sheet1'!$L$16"}</definedName>
    <definedName name="HIHIHIHOI" localSheetId="5" hidden="1">{"'Sheet1'!$L$16"}</definedName>
    <definedName name="HIHIHIHOI" hidden="1">{"'Sheet1'!$L$16"}</definedName>
    <definedName name="Hinh_thuc">#REF!</definedName>
    <definedName name="HiÕu">#REF!</definedName>
    <definedName name="HJKL" localSheetId="9" hidden="1">{"'Sheet1'!$L$16"}</definedName>
    <definedName name="HJKL" localSheetId="0" hidden="1">{"'Sheet1'!$L$16"}</definedName>
    <definedName name="HJKL" localSheetId="1" hidden="1">{"'Sheet1'!$L$16"}</definedName>
    <definedName name="HJKL" localSheetId="5" hidden="1">{"'Sheet1'!$L$16"}</definedName>
    <definedName name="HJKL" hidden="1">{"'Sheet1'!$L$16"}</definedName>
    <definedName name="hoc">55000</definedName>
    <definedName name="HOME_MANP" localSheetId="0">#REF!</definedName>
    <definedName name="HOME_MANP" localSheetId="1">#REF!</definedName>
    <definedName name="HOME_MANP" localSheetId="5">#REF!</definedName>
    <definedName name="HOME_MANP">#REF!</definedName>
    <definedName name="HOMEOFFICE_COST" localSheetId="0">#REF!</definedName>
    <definedName name="HOMEOFFICE_COST" localSheetId="1">#REF!</definedName>
    <definedName name="HOMEOFFICE_COST" localSheetId="5">#REF!</definedName>
    <definedName name="HOMEOFFICE_COST">#REF!</definedName>
    <definedName name="hs" localSheetId="0">#REF!</definedName>
    <definedName name="hs" localSheetId="1">#REF!</definedName>
    <definedName name="hs" localSheetId="5">#REF!</definedName>
    <definedName name="hs">#REF!</definedName>
    <definedName name="HSCT3">0.1</definedName>
    <definedName name="hsd" localSheetId="0">#REF!</definedName>
    <definedName name="hsd" localSheetId="1">#REF!</definedName>
    <definedName name="hsd" localSheetId="5">#REF!</definedName>
    <definedName name="hsd">#REF!</definedName>
    <definedName name="hsdc" localSheetId="0">#REF!</definedName>
    <definedName name="hsdc" localSheetId="1">#REF!</definedName>
    <definedName name="hsdc" localSheetId="5">#REF!</definedName>
    <definedName name="hsdc">#REF!</definedName>
    <definedName name="hsdc1" localSheetId="0">#REF!</definedName>
    <definedName name="hsdc1" localSheetId="1">#REF!</definedName>
    <definedName name="hsdc1" localSheetId="5">#REF!</definedName>
    <definedName name="hsdc1">#REF!</definedName>
    <definedName name="HSDN">2.5</definedName>
    <definedName name="HSHH">#REF!</definedName>
    <definedName name="HSHHUT">#REF!</definedName>
    <definedName name="hsk">#REF!</definedName>
    <definedName name="HSKK35">#REF!</definedName>
    <definedName name="HSLX">#REF!</definedName>
    <definedName name="HSLXH">1.7</definedName>
    <definedName name="HSLXP" localSheetId="0">#REF!</definedName>
    <definedName name="HSLXP" localSheetId="1">#REF!</definedName>
    <definedName name="HSLXP" localSheetId="5">#REF!</definedName>
    <definedName name="HSLXP">#REF!</definedName>
    <definedName name="hsn">0.5</definedName>
    <definedName name="hsnc_cau">2.5039</definedName>
    <definedName name="hsnc_cau2">1.626</definedName>
    <definedName name="hsnc_d">1.6356</definedName>
    <definedName name="hsnc_d2">1.6356</definedName>
    <definedName name="hßm4" localSheetId="0">#REF!</definedName>
    <definedName name="hßm4" localSheetId="1">#REF!</definedName>
    <definedName name="hßm4" localSheetId="5">#REF!</definedName>
    <definedName name="hßm4">#REF!</definedName>
    <definedName name="hstb" localSheetId="0">#REF!</definedName>
    <definedName name="hstb" localSheetId="1">#REF!</definedName>
    <definedName name="hstb" localSheetId="5">#REF!</definedName>
    <definedName name="hstb">#REF!</definedName>
    <definedName name="hstdtk" localSheetId="0">#REF!</definedName>
    <definedName name="hstdtk" localSheetId="1">#REF!</definedName>
    <definedName name="hstdtk" localSheetId="5">#REF!</definedName>
    <definedName name="hstdtk">#REF!</definedName>
    <definedName name="hsthep">#REF!</definedName>
    <definedName name="HSVC1">#REF!</definedName>
    <definedName name="HSVC2">#REF!</definedName>
    <definedName name="HSVC3">#REF!</definedName>
    <definedName name="hsvl">#REF!</definedName>
    <definedName name="hsvl2">1</definedName>
    <definedName name="HT" localSheetId="0">#REF!</definedName>
    <definedName name="HT" localSheetId="1">#REF!</definedName>
    <definedName name="HT" localSheetId="5">#REF!</definedName>
    <definedName name="HT">#REF!</definedName>
    <definedName name="HTHH" localSheetId="0">#REF!</definedName>
    <definedName name="HTHH" localSheetId="1">#REF!</definedName>
    <definedName name="HTHH" localSheetId="5">#REF!</definedName>
    <definedName name="HTHH">#REF!</definedName>
    <definedName name="htlm" localSheetId="9" hidden="1">{"'Sheet1'!$L$16"}</definedName>
    <definedName name="htlm" localSheetId="0" hidden="1">{"'Sheet1'!$L$16"}</definedName>
    <definedName name="htlm" localSheetId="1" hidden="1">{"'Sheet1'!$L$16"}</definedName>
    <definedName name="htlm" localSheetId="5" hidden="1">{"'Sheet1'!$L$16"}</definedName>
    <definedName name="htlm" hidden="1">{"'Sheet1'!$L$16"}</definedName>
    <definedName name="HTML_CodePage" hidden="1">950</definedName>
    <definedName name="HTML_Control" localSheetId="9" hidden="1">{"'Sheet1'!$L$16"}</definedName>
    <definedName name="HTML_Control" localSheetId="0" hidden="1">{"'Sheet1'!$L$16"}</definedName>
    <definedName name="HTML_Control" localSheetId="1" hidden="1">{"'Sheet1'!$L$16"}</definedName>
    <definedName name="HTML_Control" localSheetId="5" hidden="1">{"'Sheet1'!$L$16"}</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TNC" localSheetId="0">#REF!</definedName>
    <definedName name="HTNC" localSheetId="1">#REF!</definedName>
    <definedName name="HTNC" localSheetId="5">#REF!</definedName>
    <definedName name="HTNC">#REF!</definedName>
    <definedName name="htrhrt" localSheetId="9" hidden="1">{"'Sheet1'!$L$16"}</definedName>
    <definedName name="htrhrt" localSheetId="0" hidden="1">{"'Sheet1'!$L$16"}</definedName>
    <definedName name="htrhrt" localSheetId="1" hidden="1">{"'Sheet1'!$L$16"}</definedName>
    <definedName name="htrhrt" localSheetId="5" hidden="1">{"'Sheet1'!$L$16"}</definedName>
    <definedName name="htrhrt" hidden="1">{"'Sheet1'!$L$16"}</definedName>
    <definedName name="HTVL">#REF!</definedName>
    <definedName name="hu" localSheetId="5" hidden="1">{"'Sheet1'!$L$16"}</definedName>
    <definedName name="hu" hidden="1">{"'Sheet1'!$L$16"}</definedName>
    <definedName name="huy">#REF!</definedName>
    <definedName name="I">#REF!</definedName>
    <definedName name="IDLAB_COST">#REF!</definedName>
    <definedName name="IND_LAB">#REF!</definedName>
    <definedName name="INDMANP">#REF!</definedName>
    <definedName name="j">#REF!</definedName>
    <definedName name="j356C8">#REF!</definedName>
    <definedName name="K">#REF!</definedName>
    <definedName name="k2b">#REF!</definedName>
    <definedName name="kcong">#REF!</definedName>
    <definedName name="KH_Chang">#REF!</definedName>
    <definedName name="Khac" localSheetId="0">#REF!</definedName>
    <definedName name="Khac" localSheetId="1">#REF!</definedName>
    <definedName name="Khac" localSheetId="5">#REF!</definedName>
    <definedName name="Khac">#REF!</definedName>
    <definedName name="KHANHKHUNG" localSheetId="5" hidden="1">{"'Sheet1'!$L$16"}</definedName>
    <definedName name="KHANHKHUNG" hidden="1">{"'Sheet1'!$L$16"}</definedName>
    <definedName name="khla09" localSheetId="5" hidden="1">{"'Sheet1'!$L$16"}</definedName>
    <definedName name="khla09" hidden="1">{"'Sheet1'!$L$16"}</definedName>
    <definedName name="KHOI_LUONG_DAT_DAO_DAP">#REF!</definedName>
    <definedName name="Khong_can_doi">#REF!</definedName>
    <definedName name="khongtruotgia" localSheetId="5" hidden="1">{"'Sheet1'!$L$16"}</definedName>
    <definedName name="khongtruotgia" hidden="1">{"'Sheet1'!$L$16"}</definedName>
    <definedName name="KhuyenmaiUPS">"AutoShape 264"</definedName>
    <definedName name="khvh09" localSheetId="5" hidden="1">{"'Sheet1'!$L$16"}</definedName>
    <definedName name="khvh09" hidden="1">{"'Sheet1'!$L$16"}</definedName>
    <definedName name="KHYt09" localSheetId="5" hidden="1">{"'Sheet1'!$L$16"}</definedName>
    <definedName name="KHYt09" hidden="1">{"'Sheet1'!$L$16"}</definedName>
    <definedName name="KINH_PHI_DEN_BU">#REF!</definedName>
    <definedName name="KINH_PHI_DZ0.4KV">#REF!</definedName>
    <definedName name="KINH_PHI_KHAO_SAT__LAP_BCNCKT__TKKTTC">#REF!</definedName>
    <definedName name="KINH_PHI_KHO_BAI">#REF!</definedName>
    <definedName name="KINH_PHI_TBA">#REF!</definedName>
    <definedName name="kk">0.8</definedName>
    <definedName name="kl_ME" localSheetId="0">#REF!</definedName>
    <definedName name="kl_ME" localSheetId="1">#REF!</definedName>
    <definedName name="kl_ME" localSheetId="5">#REF!</definedName>
    <definedName name="kl_ME">#REF!</definedName>
    <definedName name="KLduonggiaods" localSheetId="5" hidden="1">{"'Sheet1'!$L$16"}</definedName>
    <definedName name="KLduonggiaods" hidden="1">{"'Sheet1'!$L$16"}</definedName>
    <definedName name="KLTHDN">#REF!</definedName>
    <definedName name="KLVANKHUON">#REF!</definedName>
    <definedName name="komtun" localSheetId="9" hidden="1">{"'Sheet1'!$L$16"}</definedName>
    <definedName name="komtun" localSheetId="0" hidden="1">{"'Sheet1'!$L$16"}</definedName>
    <definedName name="komtun" localSheetId="1" hidden="1">{"'Sheet1'!$L$16"}</definedName>
    <definedName name="komtun" localSheetId="5" hidden="1">{"'Sheet1'!$L$16"}</definedName>
    <definedName name="komtun" hidden="1">{"'Sheet1'!$L$16"}</definedName>
    <definedName name="kp1ph">#REF!</definedName>
    <definedName name="KQ_Truong">#REF!</definedName>
    <definedName name="ksbn" localSheetId="5" hidden="1">{"'Sheet1'!$L$16"}</definedName>
    <definedName name="ksbn" hidden="1">{"'Sheet1'!$L$16"}</definedName>
    <definedName name="kshn" localSheetId="5" hidden="1">{"'Sheet1'!$L$16"}</definedName>
    <definedName name="kshn" hidden="1">{"'Sheet1'!$L$16"}</definedName>
    <definedName name="ksls" localSheetId="5" hidden="1">{"'Sheet1'!$L$16"}</definedName>
    <definedName name="ksls" hidden="1">{"'Sheet1'!$L$16"}</definedName>
    <definedName name="KSTK">#REF!</definedName>
    <definedName name="KtvCuoc2.2s">[4]NhanCong!$G$175</definedName>
    <definedName name="KtvCuoc2.4s">[4]NhanCong!$G$184</definedName>
    <definedName name="KtvCuoc2.6s">[4]NhanCong!$G$195</definedName>
    <definedName name="KVC" localSheetId="0">#REF!</definedName>
    <definedName name="KVC" localSheetId="1">#REF!</definedName>
    <definedName name="KVC" localSheetId="5">#REF!</definedName>
    <definedName name="KVC">#REF!</definedName>
    <definedName name="L" localSheetId="0">#REF!</definedName>
    <definedName name="L" localSheetId="1">#REF!</definedName>
    <definedName name="L" localSheetId="5">#REF!</definedName>
    <definedName name="L">#REF!</definedName>
    <definedName name="L_mong" localSheetId="0">#REF!</definedName>
    <definedName name="L_mong" localSheetId="1">#REF!</definedName>
    <definedName name="L_mong" localSheetId="5">#REF!</definedName>
    <definedName name="L_mong">#REF!</definedName>
    <definedName name="L63x6">5800</definedName>
    <definedName name="lan" localSheetId="0">#REF!</definedName>
    <definedName name="lan" localSheetId="1">#REF!</definedName>
    <definedName name="lan" localSheetId="5">#REF!</definedName>
    <definedName name="lan">#REF!</definedName>
    <definedName name="langson" localSheetId="5" hidden="1">{"'Sheet1'!$L$16"}</definedName>
    <definedName name="langson" hidden="1">{"'Sheet1'!$L$16"}</definedName>
    <definedName name="lanhto">#REF!</definedName>
    <definedName name="LAP_DAT_TBA">#REF!</definedName>
    <definedName name="Last_Row" localSheetId="5">IF('Mau 05 UB'!Values_Entered,Header_Row+'Mau 05 UB'!Number_of_Payments,Header_Row)</definedName>
    <definedName name="Last_Row">IF('Mau 05 UB'!Values_Entered,Header_Row+'Mau 05 UB'!Number_of_Payments,Header_Row)</definedName>
    <definedName name="LBS_22">107800000</definedName>
    <definedName name="LIET_KE_VI_TRI_DZ0.4KV" localSheetId="0">#REF!</definedName>
    <definedName name="LIET_KE_VI_TRI_DZ0.4KV" localSheetId="1">#REF!</definedName>
    <definedName name="LIET_KE_VI_TRI_DZ0.4KV" localSheetId="5">#REF!</definedName>
    <definedName name="LIET_KE_VI_TRI_DZ0.4KV">#REF!</definedName>
    <definedName name="LIET_KE_VI_TRI_DZ22KV">#REF!</definedName>
    <definedName name="LK_hathe">#REF!</definedName>
    <definedName name="Lmk">#REF!</definedName>
    <definedName name="lntt">#REF!</definedName>
    <definedName name="Loai_TD">#REF!</definedName>
    <definedName name="lVC">#REF!</definedName>
    <definedName name="Lx.125">[4]NhanCong!$G$132</definedName>
    <definedName name="Lx.140">[4]NhanCong!$G$137</definedName>
    <definedName name="Lx.175">[4]NhanCong!$G$127</definedName>
    <definedName name="Lx.225">[4]NhanCong!$G$133</definedName>
    <definedName name="Lx.275">[4]NhanCong!$G$128</definedName>
    <definedName name="Lx.325">[4]NhanCong!$G$134</definedName>
    <definedName name="Lx.340">[4]NhanCong!$G$139</definedName>
    <definedName name="Lx.375">[4]NhanCong!$G$129</definedName>
    <definedName name="Lx.440">[4]NhanCong!$G$140</definedName>
    <definedName name="M0.4" localSheetId="0">#REF!</definedName>
    <definedName name="M0.4" localSheetId="1">#REF!</definedName>
    <definedName name="M0.4" localSheetId="5">#REF!</definedName>
    <definedName name="M0.4">#REF!</definedName>
    <definedName name="M10aa1p" localSheetId="0">#REF!</definedName>
    <definedName name="M10aa1p" localSheetId="1">#REF!</definedName>
    <definedName name="M10aa1p" localSheetId="5">#REF!</definedName>
    <definedName name="M10aa1p">#REF!</definedName>
    <definedName name="M12aavl" localSheetId="0">#REF!</definedName>
    <definedName name="M12aavl" localSheetId="1">#REF!</definedName>
    <definedName name="M12aavl" localSheetId="5">#REF!</definedName>
    <definedName name="M12aavl">#REF!</definedName>
    <definedName name="M12ba3p">#REF!</definedName>
    <definedName name="M12bb1p">#REF!</definedName>
    <definedName name="M14bb1p">#REF!</definedName>
    <definedName name="M2KtvBung.1b">[4]NhanCong!$G$204</definedName>
    <definedName name="M2KtvBung.2b">[4]NhanCong!$G$205</definedName>
    <definedName name="M2KtvBung.3b">[4]NhanCong!$G$215</definedName>
    <definedName name="M2KtvBung.4b">[4]NhanCong!$G$216</definedName>
    <definedName name="M2KtvCuoc1.2s">[4]NhanCong!$G$173</definedName>
    <definedName name="M2KtvCuoc1.4s">[4]NhanCong!$G$182</definedName>
    <definedName name="M2KtvCuoc1.6s">[4]NhanCong!$G$193</definedName>
    <definedName name="M8a" localSheetId="0">#REF!</definedName>
    <definedName name="M8a" localSheetId="1">#REF!</definedName>
    <definedName name="M8a" localSheetId="5">#REF!</definedName>
    <definedName name="M8a">#REF!</definedName>
    <definedName name="M8aa" localSheetId="0">#REF!</definedName>
    <definedName name="M8aa" localSheetId="1">#REF!</definedName>
    <definedName name="M8aa" localSheetId="5">#REF!</definedName>
    <definedName name="M8aa">#REF!</definedName>
    <definedName name="m8aanc" localSheetId="0">#REF!</definedName>
    <definedName name="m8aanc" localSheetId="1">#REF!</definedName>
    <definedName name="m8aanc" localSheetId="5">#REF!</definedName>
    <definedName name="m8aanc">#REF!</definedName>
    <definedName name="m8aavl">#REF!</definedName>
    <definedName name="Ma3pnc">#REF!</definedName>
    <definedName name="Ma3pvl">#REF!</definedName>
    <definedName name="Maa3pnc">#REF!</definedName>
    <definedName name="Maa3pvl">#REF!</definedName>
    <definedName name="Macro3">#REF!</definedName>
    <definedName name="MAJ_CON_EQP">#REF!</definedName>
    <definedName name="MAVANKHUON">#REF!</definedName>
    <definedName name="MAVLTHDN">#REF!</definedName>
    <definedName name="Mba1p">#REF!</definedName>
    <definedName name="Mba3p">#REF!</definedName>
    <definedName name="Mbb3p">#REF!</definedName>
    <definedName name="mc">#REF!</definedName>
    <definedName name="MG_A">#REF!</definedName>
    <definedName name="MN">#REF!</definedName>
    <definedName name="mo" localSheetId="9" hidden="1">{"'Sheet1'!$L$16"}</definedName>
    <definedName name="mo" localSheetId="0" hidden="1">{"'Sheet1'!$L$16"}</definedName>
    <definedName name="mo" localSheetId="1" hidden="1">{"'Sheet1'!$L$16"}</definedName>
    <definedName name="mo" localSheetId="5" hidden="1">{"'Sheet1'!$L$16"}</definedName>
    <definedName name="mo" hidden="1">{"'Sheet1'!$L$16"}</definedName>
    <definedName name="mongbang">#REF!</definedName>
    <definedName name="mongdon">#REF!</definedName>
    <definedName name="Moùng">#REF!</definedName>
    <definedName name="MSCT">#REF!</definedName>
    <definedName name="mtcdg">#REF!</definedName>
    <definedName name="MTMAC12">#REF!</definedName>
    <definedName name="Mtr.1s">[4]NhanCong!$G$170</definedName>
    <definedName name="Mtr.2s">[4]NhanCong!$G$171</definedName>
    <definedName name="Mtr.3s">[4]NhanCong!$G$179</definedName>
    <definedName name="Mtr.4s">[4]NhanCong!$G$180</definedName>
    <definedName name="Mtr.5s">[4]NhanCong!$G$188</definedName>
    <definedName name="Mtr.6s">[4]NhanCong!$G$189</definedName>
    <definedName name="mtram" localSheetId="0">#REF!</definedName>
    <definedName name="mtram" localSheetId="1">#REF!</definedName>
    <definedName name="mtram" localSheetId="5">#REF!</definedName>
    <definedName name="mtram">#REF!</definedName>
    <definedName name="MtrTtrCuocPhun.2b">[4]NhanCong!$G$201</definedName>
    <definedName name="MtrTtrCuocPhun.4b">[4]NhanCong!$G$212</definedName>
    <definedName name="myle" localSheetId="0">#REF!</definedName>
    <definedName name="myle" localSheetId="1">#REF!</definedName>
    <definedName name="myle" localSheetId="5">#REF!</definedName>
    <definedName name="myle">#REF!</definedName>
    <definedName name="n" localSheetId="0">#REF!</definedName>
    <definedName name="n" localSheetId="1">#REF!</definedName>
    <definedName name="n" localSheetId="5">#REF!</definedName>
    <definedName name="n">#REF!</definedName>
    <definedName name="n..">[2]gvl!$N$38</definedName>
    <definedName name="n1pig" localSheetId="0">#REF!</definedName>
    <definedName name="n1pig" localSheetId="1">#REF!</definedName>
    <definedName name="n1pig" localSheetId="5">#REF!</definedName>
    <definedName name="n1pig">#REF!</definedName>
    <definedName name="N1pIGnc" localSheetId="0">#REF!</definedName>
    <definedName name="N1pIGnc" localSheetId="1">#REF!</definedName>
    <definedName name="N1pIGnc" localSheetId="5">#REF!</definedName>
    <definedName name="N1pIGnc">#REF!</definedName>
    <definedName name="N1pIGvc" localSheetId="0">#REF!</definedName>
    <definedName name="N1pIGvc" localSheetId="1">#REF!</definedName>
    <definedName name="N1pIGvc" localSheetId="5">#REF!</definedName>
    <definedName name="N1pIGvc">#REF!</definedName>
    <definedName name="N1pIGvl">#REF!</definedName>
    <definedName name="n1pind">#REF!</definedName>
    <definedName name="N1pINDnc">#REF!</definedName>
    <definedName name="N1pINDvc">#REF!</definedName>
    <definedName name="N1pINDvl">#REF!</definedName>
    <definedName name="n1ping">#REF!</definedName>
    <definedName name="N1pINGvc">#REF!</definedName>
    <definedName name="n1pint">#REF!</definedName>
    <definedName name="nc">#REF!</definedName>
    <definedName name="nc_btm10">#REF!</definedName>
    <definedName name="nc_btm100">#REF!</definedName>
    <definedName name="nc3p">#REF!</definedName>
    <definedName name="NCBD100">#REF!</definedName>
    <definedName name="NCBD200">#REF!</definedName>
    <definedName name="NCBD250">#REF!</definedName>
    <definedName name="NCcap0.7">#REF!</definedName>
    <definedName name="NCcap1">#REF!</definedName>
    <definedName name="NCCT3p">#REF!</definedName>
    <definedName name="ncdg">#REF!</definedName>
    <definedName name="NCKT">#REF!</definedName>
    <definedName name="nctram">#REF!</definedName>
    <definedName name="NCVC100">#REF!</definedName>
    <definedName name="NCVC200">#REF!</definedName>
    <definedName name="NCVC250">#REF!</definedName>
    <definedName name="NCVC3P">#REF!</definedName>
    <definedName name="NET">#REF!</definedName>
    <definedName name="NET_1">#REF!</definedName>
    <definedName name="NET_ANA">#REF!</definedName>
    <definedName name="NET_ANA_1">#REF!</definedName>
    <definedName name="NET_ANA_2">#REF!</definedName>
    <definedName name="Ngay">#REF!</definedName>
    <definedName name="NH">#REF!</definedName>
    <definedName name="NHAÂN_COÂNG" localSheetId="9">BTRAM</definedName>
    <definedName name="NHAÂN_COÂNG" localSheetId="0">BTRAM</definedName>
    <definedName name="NHAÂN_COÂNG" localSheetId="1">BTRAM</definedName>
    <definedName name="NHAÂN_COÂNG" localSheetId="5">BTRAM</definedName>
    <definedName name="NHAÂN_COÂNG">BTRAM</definedName>
    <definedName name="NHANH2_CG4" localSheetId="9" hidden="1">{"'Sheet1'!$L$16"}</definedName>
    <definedName name="NHANH2_CG4" localSheetId="0" hidden="1">{"'Sheet1'!$L$16"}</definedName>
    <definedName name="NHANH2_CG4" localSheetId="1" hidden="1">{"'Sheet1'!$L$16"}</definedName>
    <definedName name="NHANH2_CG4" localSheetId="5" hidden="1">{"'Sheet1'!$L$16"}</definedName>
    <definedName name="NHANH2_CG4" hidden="1">{"'Sheet1'!$L$16"}</definedName>
    <definedName name="nhn">#REF!</definedName>
    <definedName name="NHot">#REF!</definedName>
    <definedName name="nhu">#REF!</definedName>
    <definedName name="nhua">#REF!</definedName>
    <definedName name="nhuad">#REF!</definedName>
    <definedName name="nig">#REF!</definedName>
    <definedName name="nig1p">#REF!</definedName>
    <definedName name="nig3p">#REF!</definedName>
    <definedName name="NIGnc">#REF!</definedName>
    <definedName name="nignc1p">#REF!</definedName>
    <definedName name="NIGvc">#REF!</definedName>
    <definedName name="NIGvl">#REF!</definedName>
    <definedName name="nigvl1p">#REF!</definedName>
    <definedName name="nin">#REF!</definedName>
    <definedName name="nin1903p">#REF!</definedName>
    <definedName name="nin3p">#REF!</definedName>
    <definedName name="nind">#REF!</definedName>
    <definedName name="nind1p">#REF!</definedName>
    <definedName name="nind3p">#REF!</definedName>
    <definedName name="NINDnc">#REF!</definedName>
    <definedName name="nindnc1p">#REF!</definedName>
    <definedName name="NINDvc">#REF!</definedName>
    <definedName name="NINDvl">#REF!</definedName>
    <definedName name="nindvl1p">#REF!</definedName>
    <definedName name="ning1p">#REF!</definedName>
    <definedName name="ningnc1p">#REF!</definedName>
    <definedName name="ningvl1p">#REF!</definedName>
    <definedName name="NINnc">#REF!</definedName>
    <definedName name="nint1p">#REF!</definedName>
    <definedName name="nintnc1p">#REF!</definedName>
    <definedName name="nintvl1p">#REF!</definedName>
    <definedName name="NINvc">#REF!</definedName>
    <definedName name="NINvl">#REF!</definedName>
    <definedName name="nl">#REF!</definedName>
    <definedName name="nl1p">#REF!</definedName>
    <definedName name="nl3p">#REF!</definedName>
    <definedName name="nlht">#REF!</definedName>
    <definedName name="NLTK1p">#REF!</definedName>
    <definedName name="nn">#REF!</definedName>
    <definedName name="nn1p">#REF!</definedName>
    <definedName name="nn3p">#REF!</definedName>
    <definedName name="No">#REF!</definedName>
    <definedName name="NQD">#REF!</definedName>
    <definedName name="NQQH">#REF!</definedName>
    <definedName name="NSNN">#REF!</definedName>
    <definedName name="Number_of_Payments" localSheetId="5">MATCH(0.01,End_Bal,-1)+1</definedName>
    <definedName name="Number_of_Payments">MATCH(0.01,End_Bal,-1)+1</definedName>
    <definedName name="nuoc">[2]gvl!$N$38</definedName>
    <definedName name="nuoc1">[2]gvl!$N$38</definedName>
    <definedName name="nx" localSheetId="0">#REF!</definedName>
    <definedName name="nx" localSheetId="1">#REF!</definedName>
    <definedName name="nx" localSheetId="5">#REF!</definedName>
    <definedName name="nx">#REF!</definedName>
    <definedName name="ophom" localSheetId="0">#REF!</definedName>
    <definedName name="ophom" localSheetId="1">#REF!</definedName>
    <definedName name="ophom" localSheetId="5">#REF!</definedName>
    <definedName name="ophom">#REF!</definedName>
    <definedName name="OrderTable" localSheetId="0" hidden="1">#REF!</definedName>
    <definedName name="OrderTable" localSheetId="1" hidden="1">#REF!</definedName>
    <definedName name="OrderTable" localSheetId="5" hidden="1">#REF!</definedName>
    <definedName name="OrderTable" hidden="1">#REF!</definedName>
    <definedName name="osc">#REF!</definedName>
    <definedName name="PA">#REF!</definedName>
    <definedName name="PAIII_" localSheetId="5" hidden="1">{"'Sheet1'!$L$16"}</definedName>
    <definedName name="PAIII_" hidden="1">{"'Sheet1'!$L$16"}</definedName>
    <definedName name="panen">#REF!</definedName>
    <definedName name="PC">#REF!</definedName>
    <definedName name="Phan_cap">#REF!</definedName>
    <definedName name="PHAN_DIEN_DZ0.4KV">#REF!</definedName>
    <definedName name="PHAN_DIEN_TBA">#REF!</definedName>
    <definedName name="PHAN_MUA_SAM_DZ0.4KV">#REF!</definedName>
    <definedName name="Phi_le_phi">#REF!</definedName>
    <definedName name="phu_luc_vua">#REF!</definedName>
    <definedName name="PIP" localSheetId="5">BlankMacro1</definedName>
    <definedName name="PIP">BlankMacro1</definedName>
    <definedName name="PIPE2" localSheetId="5">BlankMacro1</definedName>
    <definedName name="PIPE2">BlankMacro1</definedName>
    <definedName name="PLKL" localSheetId="0">#REF!</definedName>
    <definedName name="PLKL" localSheetId="1">#REF!</definedName>
    <definedName name="PLKL" localSheetId="5">#REF!</definedName>
    <definedName name="PLKL">#REF!</definedName>
    <definedName name="PMS" localSheetId="5" hidden="1">{"'Sheet1'!$L$16"}</definedName>
    <definedName name="PMS" hidden="1">{"'Sheet1'!$L$16"}</definedName>
    <definedName name="PPP" localSheetId="5">BlankMacro1</definedName>
    <definedName name="PPP">BlankMacro1</definedName>
    <definedName name="PRICE" localSheetId="0">#REF!</definedName>
    <definedName name="PRICE" localSheetId="1">#REF!</definedName>
    <definedName name="PRICE" localSheetId="5">#REF!</definedName>
    <definedName name="PRICE">#REF!</definedName>
    <definedName name="PRICE1" localSheetId="0">#REF!</definedName>
    <definedName name="PRICE1" localSheetId="1">#REF!</definedName>
    <definedName name="PRICE1" localSheetId="5">#REF!</definedName>
    <definedName name="PRICE1">#REF!</definedName>
    <definedName name="_xlnm.Print_Area" localSheetId="11">'07 THU NSX'!$A$1:$AE$19</definedName>
    <definedName name="_xlnm.Print_Area" localSheetId="2">'29.1'!$A$1:$H$37</definedName>
    <definedName name="_xlnm.Print_Area" localSheetId="4">'32'!$A$1:$G$46</definedName>
    <definedName name="_xlnm.Print_Area" localSheetId="5">'Mau 05 UB'!$A$1:$S$429</definedName>
    <definedName name="_xlnm.Print_Area">#REF!</definedName>
    <definedName name="_xlnm.Print_Titles" localSheetId="7">'08 XA'!$4:$6</definedName>
    <definedName name="_xlnm.Print_Titles" localSheetId="0">'b01'!$4:$5</definedName>
    <definedName name="_xlnm.Print_Titles" localSheetId="3">'b31'!$4:$5</definedName>
    <definedName name="_xlnm.Print_Titles" localSheetId="5">'Mau 05 UB'!$4:$9</definedName>
    <definedName name="_xlnm.Print_Titles">#N/A</definedName>
    <definedName name="PRINT_TITLES_MI" localSheetId="0">#REF!</definedName>
    <definedName name="PRINT_TITLES_MI" localSheetId="1">#REF!</definedName>
    <definedName name="PRINT_TITLES_MI" localSheetId="5">#REF!</definedName>
    <definedName name="PRINT_TITLES_MI">#REF!</definedName>
    <definedName name="PRINTA" localSheetId="0">#REF!</definedName>
    <definedName name="PRINTA" localSheetId="1">#REF!</definedName>
    <definedName name="PRINTA" localSheetId="5">#REF!</definedName>
    <definedName name="PRINTA">#REF!</definedName>
    <definedName name="PRINTB" localSheetId="0">#REF!</definedName>
    <definedName name="PRINTB" localSheetId="1">#REF!</definedName>
    <definedName name="PRINTB" localSheetId="5">#REF!</definedName>
    <definedName name="PRINTB">#REF!</definedName>
    <definedName name="PRINTC">#REF!</definedName>
    <definedName name="ProdForm" hidden="1">#REF!</definedName>
    <definedName name="Product" hidden="1">#REF!</definedName>
    <definedName name="PROPOSAL">#REF!</definedName>
    <definedName name="pt">#REF!</definedName>
    <definedName name="PT_Duong">#REF!</definedName>
    <definedName name="ptdg">#REF!</definedName>
    <definedName name="PTDG_cau">#REF!</definedName>
    <definedName name="PtichDTL" localSheetId="5">'Mau 05 UB'!PtichDTL</definedName>
    <definedName name="PtichDTL">[6]!PtichDTL</definedName>
    <definedName name="PTNC" localSheetId="0">#REF!</definedName>
    <definedName name="PTNC" localSheetId="1">#REF!</definedName>
    <definedName name="PTNC" localSheetId="5">#REF!</definedName>
    <definedName name="PTNC">#REF!</definedName>
    <definedName name="pvd" localSheetId="0">#REF!</definedName>
    <definedName name="pvd" localSheetId="1">#REF!</definedName>
    <definedName name="pvd" localSheetId="5">#REF!</definedName>
    <definedName name="pvd">#REF!</definedName>
    <definedName name="Q__sè_721_Q__KH_T___27_5_03" localSheetId="5">TUANKHANHTUYET1</definedName>
    <definedName name="Q__sè_721_Q__KH_T___27_5_03">TUANKHANHTUYET1</definedName>
    <definedName name="qq" localSheetId="5">BlankMacro1</definedName>
    <definedName name="qq">BlankMacro1</definedName>
    <definedName name="qtdm" localSheetId="0">#REF!</definedName>
    <definedName name="qtdm" localSheetId="1">#REF!</definedName>
    <definedName name="qtdm" localSheetId="5">#REF!</definedName>
    <definedName name="qtdm">#REF!</definedName>
    <definedName name="ra11p" localSheetId="0">#REF!</definedName>
    <definedName name="ra11p" localSheetId="1">#REF!</definedName>
    <definedName name="ra11p" localSheetId="5">#REF!</definedName>
    <definedName name="ra11p">#REF!</definedName>
    <definedName name="ra13p" localSheetId="0">#REF!</definedName>
    <definedName name="ra13p" localSheetId="1">#REF!</definedName>
    <definedName name="ra13p" localSheetId="5">#REF!</definedName>
    <definedName name="ra13p">#REF!</definedName>
    <definedName name="rack1">#REF!</definedName>
    <definedName name="rack2">#REF!</definedName>
    <definedName name="rack3">#REF!</definedName>
    <definedName name="rack4">#REF!</definedName>
    <definedName name="rate">14000</definedName>
    <definedName name="RCArea" hidden="1">#REF!</definedName>
    <definedName name="re" localSheetId="5" hidden="1">{"'Sheet1'!$L$16"}</definedName>
    <definedName name="re" hidden="1">{"'Sheet1'!$L$16"}</definedName>
    <definedName name="_xlnm.Recorder">#REF!</definedName>
    <definedName name="RECOUT">#N/A</definedName>
    <definedName name="RFP003A" localSheetId="0">#REF!</definedName>
    <definedName name="RFP003A" localSheetId="1">#REF!</definedName>
    <definedName name="RFP003A" localSheetId="5">#REF!</definedName>
    <definedName name="RFP003A">#REF!</definedName>
    <definedName name="RFP003B" localSheetId="0">#REF!</definedName>
    <definedName name="RFP003B" localSheetId="1">#REF!</definedName>
    <definedName name="RFP003B" localSheetId="5">#REF!</definedName>
    <definedName name="RFP003B">#REF!</definedName>
    <definedName name="RFP003C" localSheetId="0">#REF!</definedName>
    <definedName name="RFP003C" localSheetId="1">#REF!</definedName>
    <definedName name="RFP003C" localSheetId="5">#REF!</definedName>
    <definedName name="RFP003C">#REF!</definedName>
    <definedName name="RFP003D">#REF!</definedName>
    <definedName name="RFP003E">#REF!</definedName>
    <definedName name="RFP003F">#REF!</definedName>
    <definedName name="RGHGSD" localSheetId="9" hidden="1">{"'Sheet1'!$L$16"}</definedName>
    <definedName name="RGHGSD" localSheetId="0" hidden="1">{"'Sheet1'!$L$16"}</definedName>
    <definedName name="RGHGSD" localSheetId="1" hidden="1">{"'Sheet1'!$L$16"}</definedName>
    <definedName name="RGHGSD" localSheetId="5" hidden="1">{"'Sheet1'!$L$16"}</definedName>
    <definedName name="RGHGSD" hidden="1">{"'Sheet1'!$L$16"}</definedName>
    <definedName name="rnp">32</definedName>
    <definedName name="rong1" localSheetId="0">#REF!</definedName>
    <definedName name="rong1" localSheetId="1">#REF!</definedName>
    <definedName name="rong1" localSheetId="5">#REF!</definedName>
    <definedName name="rong1">#REF!</definedName>
    <definedName name="rong2" localSheetId="0">#REF!</definedName>
    <definedName name="rong2" localSheetId="1">#REF!</definedName>
    <definedName name="rong2" localSheetId="5">#REF!</definedName>
    <definedName name="rong2">#REF!</definedName>
    <definedName name="rong3" localSheetId="0">#REF!</definedName>
    <definedName name="rong3" localSheetId="1">#REF!</definedName>
    <definedName name="rong3" localSheetId="5">#REF!</definedName>
    <definedName name="rong3">#REF!</definedName>
    <definedName name="rong4">#REF!</definedName>
    <definedName name="rong5">#REF!</definedName>
    <definedName name="rong6">#REF!</definedName>
    <definedName name="rr" localSheetId="9" hidden="1">{"'Sheet1'!$L$16"}</definedName>
    <definedName name="rr" localSheetId="0" hidden="1">{"'Sheet1'!$L$16"}</definedName>
    <definedName name="rr" localSheetId="1" hidden="1">{"'Sheet1'!$L$16"}</definedName>
    <definedName name="rr" localSheetId="5" hidden="1">{"'Sheet1'!$L$16"}</definedName>
    <definedName name="rr" hidden="1">{"'Sheet1'!$L$16"}</definedName>
    <definedName name="rytyuyu" localSheetId="9" hidden="1">{"'Sheet1'!$L$16"}</definedName>
    <definedName name="rytyuyu" localSheetId="0" hidden="1">{"'Sheet1'!$L$16"}</definedName>
    <definedName name="rytyuyu" localSheetId="1" hidden="1">{"'Sheet1'!$L$16"}</definedName>
    <definedName name="rytyuyu" localSheetId="5" hidden="1">{"'Sheet1'!$L$16"}</definedName>
    <definedName name="rytyuyu" hidden="1">{"'Sheet1'!$L$16"}</definedName>
    <definedName name="S.dinh">640</definedName>
    <definedName name="san" localSheetId="0">#REF!</definedName>
    <definedName name="san" localSheetId="1">#REF!</definedName>
    <definedName name="san" localSheetId="5">#REF!</definedName>
    <definedName name="san">#REF!</definedName>
    <definedName name="sand" localSheetId="0">#REF!</definedName>
    <definedName name="sand" localSheetId="1">#REF!</definedName>
    <definedName name="sand" localSheetId="5">#REF!</definedName>
    <definedName name="sand">#REF!</definedName>
    <definedName name="SCH" localSheetId="0">#REF!</definedName>
    <definedName name="SCH" localSheetId="1">#REF!</definedName>
    <definedName name="SCH" localSheetId="5">#REF!</definedName>
    <definedName name="SCH">#REF!</definedName>
    <definedName name="SCT">#REF!</definedName>
    <definedName name="sd1p">#REF!</definedName>
    <definedName name="sd3p">#REF!</definedName>
    <definedName name="sdbv" localSheetId="5" hidden="1">{"'Sheet1'!$L$16"}</definedName>
    <definedName name="sdbv" hidden="1">{"'Sheet1'!$L$16"}</definedName>
    <definedName name="SDDNN02" localSheetId="9" hidden="1">{"'Sheet1'!$L$16"}</definedName>
    <definedName name="SDDNN02" localSheetId="0" hidden="1">{"'Sheet1'!$L$16"}</definedName>
    <definedName name="SDDNN02" localSheetId="1" hidden="1">{"'Sheet1'!$L$16"}</definedName>
    <definedName name="SDDNN02" localSheetId="5" hidden="1">{"'Sheet1'!$L$16"}</definedName>
    <definedName name="SDDNN02" hidden="1">{"'Sheet1'!$L$16"}</definedName>
    <definedName name="SDMONG">#REF!</definedName>
    <definedName name="Sheet3" localSheetId="5">BlankMacro1</definedName>
    <definedName name="Sheet3">BlankMacro1</definedName>
    <definedName name="sho" localSheetId="0">#REF!</definedName>
    <definedName name="sho" localSheetId="1">#REF!</definedName>
    <definedName name="sho" localSheetId="5">#REF!</definedName>
    <definedName name="sho">#REF!</definedName>
    <definedName name="sht" localSheetId="0">#REF!</definedName>
    <definedName name="sht" localSheetId="1">#REF!</definedName>
    <definedName name="sht" localSheetId="5">#REF!</definedName>
    <definedName name="sht">#REF!</definedName>
    <definedName name="sht1p" localSheetId="0">#REF!</definedName>
    <definedName name="sht1p" localSheetId="1">#REF!</definedName>
    <definedName name="sht1p" localSheetId="5">#REF!</definedName>
    <definedName name="sht1p">#REF!</definedName>
    <definedName name="sht3p">#REF!</definedName>
    <definedName name="SIZE">#REF!</definedName>
    <definedName name="SL_CRD">#REF!</definedName>
    <definedName name="SL_CRS">#REF!</definedName>
    <definedName name="SL_CS">#REF!</definedName>
    <definedName name="SL_DD">#REF!</definedName>
    <definedName name="slg">#REF!</definedName>
    <definedName name="soc3p">#REF!</definedName>
    <definedName name="Soi">#REF!</definedName>
    <definedName name="soichon12">#REF!</definedName>
    <definedName name="soichon24">#REF!</definedName>
    <definedName name="soichon46">#REF!</definedName>
    <definedName name="solieu">#REF!</definedName>
    <definedName name="Sosanh2" localSheetId="5" hidden="1">{"'Sheet1'!$L$16"}</definedName>
    <definedName name="Sosanh2" hidden="1">{"'Sheet1'!$L$16"}</definedName>
    <definedName name="SPEC">#REF!</definedName>
    <definedName name="SpecialPrice" hidden="1">#REF!</definedName>
    <definedName name="SPECSUMMARY">#REF!</definedName>
    <definedName name="ss" localSheetId="0">#REF!</definedName>
    <definedName name="ss" localSheetId="1">#REF!</definedName>
    <definedName name="ss" localSheetId="5">#REF!</definedName>
    <definedName name="ss">#REF!</definedName>
    <definedName name="sss" localSheetId="0">#REF!</definedName>
    <definedName name="sss" localSheetId="1">#REF!</definedName>
    <definedName name="sss">#REF!</definedName>
    <definedName name="st1p" localSheetId="0">#REF!</definedName>
    <definedName name="st1p" localSheetId="1">#REF!</definedName>
    <definedName name="st1p">#REF!</definedName>
    <definedName name="st3p">#REF!</definedName>
    <definedName name="Start_1">#REF!</definedName>
    <definedName name="Start_10">#REF!</definedName>
    <definedName name="Start_11">#REF!</definedName>
    <definedName name="Start_12">#REF!</definedName>
    <definedName name="Start_13">#REF!</definedName>
    <definedName name="Start_2">#REF!</definedName>
    <definedName name="Start_3">#REF!</definedName>
    <definedName name="Start_4">#REF!</definedName>
    <definedName name="Start_5">#REF!</definedName>
    <definedName name="Start_6">#REF!</definedName>
    <definedName name="Start_7">#REF!</definedName>
    <definedName name="Start_8">#REF!</definedName>
    <definedName name="Start_9">#REF!</definedName>
    <definedName name="SU">#REF!</definedName>
    <definedName name="Sua" localSheetId="5">BlankMacro1</definedName>
    <definedName name="Sua">BlankMacro1</definedName>
    <definedName name="sub" localSheetId="0">#REF!</definedName>
    <definedName name="sub" localSheetId="1">#REF!</definedName>
    <definedName name="sub" localSheetId="5">#REF!</definedName>
    <definedName name="sub">#REF!</definedName>
    <definedName name="SUMMARY" localSheetId="0">#REF!</definedName>
    <definedName name="SUMMARY" localSheetId="1">#REF!</definedName>
    <definedName name="SUMMARY" localSheetId="5">#REF!</definedName>
    <definedName name="SUMMARY">#REF!</definedName>
    <definedName name="sur" localSheetId="0">#REF!</definedName>
    <definedName name="sur" localSheetId="1">#REF!</definedName>
    <definedName name="sur" localSheetId="5">#REF!</definedName>
    <definedName name="sur">#REF!</definedName>
    <definedName name="t">#REF!</definedName>
    <definedName name="T.3" localSheetId="5" hidden="1">{"'Sheet1'!$L$16"}</definedName>
    <definedName name="T.3" hidden="1">{"'Sheet1'!$L$16"}</definedName>
    <definedName name="t101p">#REF!</definedName>
    <definedName name="t103p">#REF!</definedName>
    <definedName name="t10m">#REF!</definedName>
    <definedName name="t10nc1p">#REF!</definedName>
    <definedName name="t10vl1p">#REF!</definedName>
    <definedName name="t121p">#REF!</definedName>
    <definedName name="t123p">#REF!</definedName>
    <definedName name="T12nc">#REF!</definedName>
    <definedName name="t12nc3p">#REF!</definedName>
    <definedName name="T12vc">#REF!</definedName>
    <definedName name="T12vl">#REF!</definedName>
    <definedName name="t141p">#REF!</definedName>
    <definedName name="t143p">#REF!</definedName>
    <definedName name="t7m">#REF!</definedName>
    <definedName name="t8m">#REF!</definedName>
    <definedName name="Tæng_c_ng_suÊt_hiÖn_t_i">"THOP"</definedName>
    <definedName name="TAN" localSheetId="0">#REF!</definedName>
    <definedName name="TAN" localSheetId="1">#REF!</definedName>
    <definedName name="TAN" localSheetId="5">#REF!</definedName>
    <definedName name="TAN">#REF!</definedName>
    <definedName name="Tang">100</definedName>
    <definedName name="TaxTV">10%</definedName>
    <definedName name="TaxXL">5%</definedName>
    <definedName name="TBA" localSheetId="0">#REF!</definedName>
    <definedName name="TBA" localSheetId="1">#REF!</definedName>
    <definedName name="TBA" localSheetId="5">#REF!</definedName>
    <definedName name="TBA">#REF!</definedName>
    <definedName name="tbl_ProdInfo" localSheetId="0" hidden="1">#REF!</definedName>
    <definedName name="tbl_ProdInfo" localSheetId="1" hidden="1">#REF!</definedName>
    <definedName name="tbl_ProdInfo" localSheetId="5" hidden="1">#REF!</definedName>
    <definedName name="tbl_ProdInfo" hidden="1">#REF!</definedName>
    <definedName name="tbtram" localSheetId="0">#REF!</definedName>
    <definedName name="tbtram" localSheetId="1">#REF!</definedName>
    <definedName name="tbtram" localSheetId="5">#REF!</definedName>
    <definedName name="tbtram">#REF!</definedName>
    <definedName name="TBXD">#REF!</definedName>
    <definedName name="TC">#REF!</definedName>
    <definedName name="TC_NHANH1">#REF!</definedName>
    <definedName name="TD">#REF!</definedName>
    <definedName name="TD12vl">#REF!</definedName>
    <definedName name="TD1p1nc">#REF!</definedName>
    <definedName name="td1p1vc">#REF!</definedName>
    <definedName name="TD1p1vl">#REF!</definedName>
    <definedName name="td3p">#REF!</definedName>
    <definedName name="TDctnc">#REF!</definedName>
    <definedName name="TDctvc">#REF!</definedName>
    <definedName name="TDctvl">#REF!</definedName>
    <definedName name="tdia">#REF!</definedName>
    <definedName name="tdnc1p">#REF!</definedName>
    <definedName name="tdt">#REF!</definedName>
    <definedName name="tdtr2cnc">#REF!</definedName>
    <definedName name="tdtr2cvl">#REF!</definedName>
    <definedName name="tdvl1p">#REF!</definedName>
    <definedName name="tenck">#REF!</definedName>
    <definedName name="Test5">#REF!</definedName>
    <definedName name="tha" localSheetId="9" hidden="1">{"'Sheet1'!$L$16"}</definedName>
    <definedName name="tha" localSheetId="0" hidden="1">{"'Sheet1'!$L$16"}</definedName>
    <definedName name="tha" localSheetId="1" hidden="1">{"'Sheet1'!$L$16"}</definedName>
    <definedName name="tha" localSheetId="5" hidden="1">{"'Sheet1'!$L$16"}</definedName>
    <definedName name="tha" hidden="1">{"'Sheet1'!$L$16"}</definedName>
    <definedName name="thai" localSheetId="9" hidden="1">{"'Sheet1'!$L$16"}</definedName>
    <definedName name="thai" localSheetId="0" hidden="1">{"'Sheet1'!$L$16"}</definedName>
    <definedName name="thai" localSheetId="1" hidden="1">{"'Sheet1'!$L$16"}</definedName>
    <definedName name="thai" localSheetId="5" hidden="1">{"'Sheet1'!$L$16"}</definedName>
    <definedName name="thai" hidden="1">{"'Sheet1'!$L$16"}</definedName>
    <definedName name="thang">#REF!</definedName>
    <definedName name="thanh" localSheetId="9" hidden="1">{"'Sheet1'!$L$16"}</definedName>
    <definedName name="thanh" localSheetId="0" hidden="1">{"'Sheet1'!$L$16"}</definedName>
    <definedName name="thanh" localSheetId="1" hidden="1">{"'Sheet1'!$L$16"}</definedName>
    <definedName name="thanh" localSheetId="5" hidden="1">{"'Sheet1'!$L$16"}</definedName>
    <definedName name="thanh" hidden="1">{"'Sheet1'!$L$16"}</definedName>
    <definedName name="thanhtien">#REF!</definedName>
    <definedName name="THCHM">[2]gvl!$N$38</definedName>
    <definedName name="THchon" localSheetId="0">#REF!</definedName>
    <definedName name="THchon" localSheetId="1">#REF!</definedName>
    <definedName name="THchon" localSheetId="5">#REF!</definedName>
    <definedName name="THchon">#REF!</definedName>
    <definedName name="thdt" localSheetId="0">#REF!</definedName>
    <definedName name="thdt" localSheetId="1">#REF!</definedName>
    <definedName name="thdt" localSheetId="5">#REF!</definedName>
    <definedName name="thdt">#REF!</definedName>
    <definedName name="THDT_HT_DAO_THUONG" localSheetId="0">#REF!</definedName>
    <definedName name="THDT_HT_DAO_THUONG" localSheetId="1">#REF!</definedName>
    <definedName name="THDT_HT_DAO_THUONG" localSheetId="5">#REF!</definedName>
    <definedName name="THDT_HT_DAO_THUONG">#REF!</definedName>
    <definedName name="THDT_HT_XOM_NOI">#REF!</definedName>
    <definedName name="THDT_NPP_XOM_NOI">#REF!</definedName>
    <definedName name="THDT_TBA_XOM_NOI">#REF!</definedName>
    <definedName name="thepban">#REF!</definedName>
    <definedName name="thepgoc25_60">#REF!</definedName>
    <definedName name="thepgoc63_75">#REF!</definedName>
    <definedName name="thepgoc80_100">#REF!</definedName>
    <definedName name="thepma">10500</definedName>
    <definedName name="theptron12" localSheetId="0">#REF!</definedName>
    <definedName name="theptron12" localSheetId="1">#REF!</definedName>
    <definedName name="theptron12" localSheetId="5">#REF!</definedName>
    <definedName name="theptron12">#REF!</definedName>
    <definedName name="theptron14_22" localSheetId="0">#REF!</definedName>
    <definedName name="theptron14_22" localSheetId="1">#REF!</definedName>
    <definedName name="theptron14_22" localSheetId="5">#REF!</definedName>
    <definedName name="theptron14_22">#REF!</definedName>
    <definedName name="theptron6_8" localSheetId="0">#REF!</definedName>
    <definedName name="theptron6_8" localSheetId="1">#REF!</definedName>
    <definedName name="theptron6_8" localSheetId="5">#REF!</definedName>
    <definedName name="theptron6_8">#REF!</definedName>
    <definedName name="thetichck">#REF!</definedName>
    <definedName name="THGO1pnc">#REF!</definedName>
    <definedName name="thht">#REF!</definedName>
    <definedName name="THI">#REF!</definedName>
    <definedName name="thkp3">#REF!</definedName>
    <definedName name="Tholan.204">[4]NhanCong!$G$221</definedName>
    <definedName name="TholanC1.12">[4]NhanCong!$G$224</definedName>
    <definedName name="THOP">"THOP"</definedName>
    <definedName name="THT" localSheetId="0">#REF!</definedName>
    <definedName name="THT" localSheetId="1">#REF!</definedName>
    <definedName name="THT" localSheetId="5">#REF!</definedName>
    <definedName name="THT">#REF!</definedName>
    <definedName name="thtich1" localSheetId="0">#REF!</definedName>
    <definedName name="thtich1" localSheetId="1">#REF!</definedName>
    <definedName name="thtich1" localSheetId="5">#REF!</definedName>
    <definedName name="thtich1">#REF!</definedName>
    <definedName name="thtich2" localSheetId="0">#REF!</definedName>
    <definedName name="thtich2" localSheetId="1">#REF!</definedName>
    <definedName name="thtich2" localSheetId="5">#REF!</definedName>
    <definedName name="thtich2">#REF!</definedName>
    <definedName name="thtich3">#REF!</definedName>
    <definedName name="thtich4">#REF!</definedName>
    <definedName name="thtich5">#REF!</definedName>
    <definedName name="thtich6">#REF!</definedName>
    <definedName name="thtt">#REF!</definedName>
    <definedName name="ThuyThu.2b">[4]NhanCong!$G$159</definedName>
    <definedName name="ThuyThu.3b">[4]NhanCong!$G$160</definedName>
    <definedName name="ThuyThu.4b">[4]NhanCong!$G$161</definedName>
    <definedName name="Tien" localSheetId="0">#REF!</definedName>
    <definedName name="Tien" localSheetId="1">#REF!</definedName>
    <definedName name="Tien" localSheetId="5">#REF!</definedName>
    <definedName name="Tien">#REF!</definedName>
    <definedName name="TIENLUONG" localSheetId="0">#REF!</definedName>
    <definedName name="TIENLUONG" localSheetId="1">#REF!</definedName>
    <definedName name="TIENLUONG" localSheetId="5">#REF!</definedName>
    <definedName name="TIENLUONG">#REF!</definedName>
    <definedName name="Tiepdiama">9500</definedName>
    <definedName name="TIEU_HAO_VAT_TU_DZ0.4KV" localSheetId="0">#REF!</definedName>
    <definedName name="TIEU_HAO_VAT_TU_DZ0.4KV" localSheetId="1">#REF!</definedName>
    <definedName name="TIEU_HAO_VAT_TU_DZ0.4KV" localSheetId="5">#REF!</definedName>
    <definedName name="TIEU_HAO_VAT_TU_DZ0.4KV">#REF!</definedName>
    <definedName name="TIEU_HAO_VAT_TU_DZ22KV" localSheetId="0">#REF!</definedName>
    <definedName name="TIEU_HAO_VAT_TU_DZ22KV" localSheetId="1">#REF!</definedName>
    <definedName name="TIEU_HAO_VAT_TU_DZ22KV" localSheetId="5">#REF!</definedName>
    <definedName name="TIEU_HAO_VAT_TU_DZ22KV">#REF!</definedName>
    <definedName name="TIEU_HAO_VAT_TU_TBA" localSheetId="0">#REF!</definedName>
    <definedName name="TIEU_HAO_VAT_TU_TBA" localSheetId="1">#REF!</definedName>
    <definedName name="TIEU_HAO_VAT_TU_TBA" localSheetId="5">#REF!</definedName>
    <definedName name="TIEU_HAO_VAT_TU_TBA">#REF!</definedName>
    <definedName name="TIT" localSheetId="0">#REF!</definedName>
    <definedName name="TIT" localSheetId="1">#REF!</definedName>
    <definedName name="TIT">#REF!</definedName>
    <definedName name="TITAN">#REF!</definedName>
    <definedName name="tk">#REF!</definedName>
    <definedName name="TKYB">"TKYB"</definedName>
    <definedName name="TLAC120" localSheetId="0">#REF!</definedName>
    <definedName name="TLAC120" localSheetId="1">#REF!</definedName>
    <definedName name="TLAC120" localSheetId="5">#REF!</definedName>
    <definedName name="TLAC120">#REF!</definedName>
    <definedName name="TLAC35" localSheetId="0">#REF!</definedName>
    <definedName name="TLAC35" localSheetId="1">#REF!</definedName>
    <definedName name="TLAC35" localSheetId="5">#REF!</definedName>
    <definedName name="TLAC35">#REF!</definedName>
    <definedName name="TLAC50" localSheetId="0">#REF!</definedName>
    <definedName name="TLAC50" localSheetId="1">#REF!</definedName>
    <definedName name="TLAC50" localSheetId="5">#REF!</definedName>
    <definedName name="TLAC50">#REF!</definedName>
    <definedName name="TLAC70">#REF!</definedName>
    <definedName name="TLAC95">#REF!</definedName>
    <definedName name="Tle">#REF!</definedName>
    <definedName name="TmayTdien.1b">[4]NhanCong!$G$162</definedName>
    <definedName name="TmayTdien.2b">[4]NhanCong!$G$163</definedName>
    <definedName name="TmayTdien.3b">[4]NhanCong!$G$164</definedName>
    <definedName name="TmayTdien.4b">[4]NhanCong!$G$165</definedName>
    <definedName name="Tong_co" localSheetId="0">#REF!</definedName>
    <definedName name="Tong_co" localSheetId="1">#REF!</definedName>
    <definedName name="Tong_co" localSheetId="5">#REF!</definedName>
    <definedName name="Tong_co">#REF!</definedName>
    <definedName name="TONG_GIA_TRI_CONG_TRINH" localSheetId="0">#REF!</definedName>
    <definedName name="TONG_GIA_TRI_CONG_TRINH" localSheetId="1">#REF!</definedName>
    <definedName name="TONG_GIA_TRI_CONG_TRINH" localSheetId="5">#REF!</definedName>
    <definedName name="TONG_GIA_TRI_CONG_TRINH">#REF!</definedName>
    <definedName name="TONG_HOP_THI_NGHIEM_DZ0.4KV" localSheetId="0">#REF!</definedName>
    <definedName name="TONG_HOP_THI_NGHIEM_DZ0.4KV" localSheetId="1">#REF!</definedName>
    <definedName name="TONG_HOP_THI_NGHIEM_DZ0.4KV" localSheetId="5">#REF!</definedName>
    <definedName name="TONG_HOP_THI_NGHIEM_DZ0.4KV">#REF!</definedName>
    <definedName name="TONG_HOP_THI_NGHIEM_DZ22KV">#REF!</definedName>
    <definedName name="TONG_KE_TBA">#REF!</definedName>
    <definedName name="Tong_no">#REF!</definedName>
    <definedName name="tongbt">#REF!</definedName>
    <definedName name="tongcong">#REF!</definedName>
    <definedName name="tongdientich">#REF!</definedName>
    <definedName name="TONGDUTOAN">#REF!</definedName>
    <definedName name="tongthep">#REF!</definedName>
    <definedName name="tongthetich">#REF!</definedName>
    <definedName name="Tonmai">#REF!</definedName>
    <definedName name="Tp1M1.11s">[4]NhanCong!$G$146</definedName>
    <definedName name="Tp1M1.22s">[4]NhanCong!$G$154</definedName>
    <definedName name="Tp2KtvHutBung.1b">[4]NhanCong!$G$206</definedName>
    <definedName name="Tp2KtvHutBung.2b">[4]NhanCong!$G$207</definedName>
    <definedName name="Tp2KtvHutBung.4b">[4]NhanCong!$G$218</definedName>
    <definedName name="Tp2M2.21s">[4]NhanCong!$G$155</definedName>
    <definedName name="TPLRP" localSheetId="0">#REF!</definedName>
    <definedName name="TPLRP" localSheetId="1">#REF!</definedName>
    <definedName name="TPLRP" localSheetId="5">#REF!</definedName>
    <definedName name="TPLRP">#REF!</definedName>
    <definedName name="Tra_DM_su_dung" localSheetId="0">#REF!</definedName>
    <definedName name="Tra_DM_su_dung" localSheetId="1">#REF!</definedName>
    <definedName name="Tra_DM_su_dung" localSheetId="5">#REF!</definedName>
    <definedName name="Tra_DM_su_dung">#REF!</definedName>
    <definedName name="Tra_don_gia_KS" localSheetId="0">#REF!</definedName>
    <definedName name="Tra_don_gia_KS" localSheetId="1">#REF!</definedName>
    <definedName name="Tra_don_gia_KS" localSheetId="5">#REF!</definedName>
    <definedName name="Tra_don_gia_KS">#REF!</definedName>
    <definedName name="Tra_DTCT">#REF!</definedName>
    <definedName name="Tra_tim_hang_mucPT_trung">#REF!</definedName>
    <definedName name="Tra_TL">#REF!</definedName>
    <definedName name="Tra_ty_le2">#REF!</definedName>
    <definedName name="Tra_ty_le3">#REF!</definedName>
    <definedName name="Tra_ty_le4">#REF!</definedName>
    <definedName name="Tra_ty_le5">#REF!</definedName>
    <definedName name="TRADE2">#REF!</definedName>
    <definedName name="trong" localSheetId="9" hidden="1">{"'Sheet1'!$L$16"}</definedName>
    <definedName name="trong" localSheetId="0" hidden="1">{"'Sheet1'!$L$16"}</definedName>
    <definedName name="trong" localSheetId="1" hidden="1">{"'Sheet1'!$L$16"}</definedName>
    <definedName name="trong" localSheetId="5" hidden="1">{"'Sheet1'!$L$16"}</definedName>
    <definedName name="trong" hidden="1">{"'Sheet1'!$L$16"}</definedName>
    <definedName name="trt">#REF!</definedName>
    <definedName name="TT_1P">#REF!</definedName>
    <definedName name="TT_3p">#REF!</definedName>
    <definedName name="ttbt">#REF!</definedName>
    <definedName name="TTDD1P">#REF!</definedName>
    <definedName name="TTDKKH">#REF!</definedName>
    <definedName name="tthi">#REF!</definedName>
    <definedName name="Ttr.11s">[4]NhanCong!$G$144</definedName>
    <definedName name="Ttr.12s">[4]NhanCong!$G$145</definedName>
    <definedName name="Ttr.21s">[4]NhanCong!$G$151</definedName>
    <definedName name="Ttr.22s">[4]NhanCong!$G$152</definedName>
    <definedName name="TTrHut300.1s">[4]NhanCong!$G$177</definedName>
    <definedName name="TTrHutCuoc300.1s">[4]NhanCong!$G$186</definedName>
    <definedName name="TTrHutCuoc300.2b">[4]NhanCong!$G$199</definedName>
    <definedName name="TTrHutCuoc300.2s">[4]NhanCong!$G$187</definedName>
    <definedName name="TTrHutCuoc800.2b">[4]NhanCong!$G$210</definedName>
    <definedName name="ttronmk" localSheetId="0">#REF!</definedName>
    <definedName name="ttronmk" localSheetId="1">#REF!</definedName>
    <definedName name="ttronmk" localSheetId="5">#REF!</definedName>
    <definedName name="ttronmk">#REF!</definedName>
    <definedName name="ttttt" localSheetId="5" hidden="1">{"'Sheet1'!$L$16"}</definedName>
    <definedName name="ttttt" hidden="1">{"'Sheet1'!$L$16"}</definedName>
    <definedName name="ttttttttttt" localSheetId="5" hidden="1">{"'Sheet1'!$L$16"}</definedName>
    <definedName name="ttttttttttt" hidden="1">{"'Sheet1'!$L$16"}</definedName>
    <definedName name="tuyennhanh" localSheetId="9" hidden="1">{"'Sheet1'!$L$16"}</definedName>
    <definedName name="tuyennhanh" localSheetId="0" hidden="1">{"'Sheet1'!$L$16"}</definedName>
    <definedName name="tuyennhanh" localSheetId="1" hidden="1">{"'Sheet1'!$L$16"}</definedName>
    <definedName name="tuyennhanh" localSheetId="5" hidden="1">{"'Sheet1'!$L$16"}</definedName>
    <definedName name="tuyennhanh" hidden="1">{"'Sheet1'!$L$16"}</definedName>
    <definedName name="tv75nc">#REF!</definedName>
    <definedName name="tv75vl">#REF!</definedName>
    <definedName name="TW">#REF!</definedName>
    <definedName name="ty_le">#REF!</definedName>
    <definedName name="ty_le_BTN">#REF!</definedName>
    <definedName name="Ty_le1">#REF!</definedName>
    <definedName name="TYT" localSheetId="5">BlankMacro1</definedName>
    <definedName name="TYT">BlankMacro1</definedName>
    <definedName name="ưewqêqư" localSheetId="9" hidden="1">{"'Sheet1'!$L$16"}</definedName>
    <definedName name="ưewqêqư" localSheetId="0" hidden="1">{"'Sheet1'!$L$16"}</definedName>
    <definedName name="ưewqêqư" localSheetId="1" hidden="1">{"'Sheet1'!$L$16"}</definedName>
    <definedName name="ưewqêqư" localSheetId="5" hidden="1">{"'Sheet1'!$L$16"}</definedName>
    <definedName name="ưewqêqư" hidden="1">{"'Sheet1'!$L$16"}</definedName>
    <definedName name="unitt" localSheetId="5">BlankMacro1</definedName>
    <definedName name="unitt">BlankMacro1</definedName>
    <definedName name="upnoc" localSheetId="0">#REF!</definedName>
    <definedName name="upnoc" localSheetId="1">#REF!</definedName>
    <definedName name="upnoc" localSheetId="5">#REF!</definedName>
    <definedName name="upnoc">#REF!</definedName>
    <definedName name="ut" localSheetId="5">BlankMacro1</definedName>
    <definedName name="ut">BlankMacro1</definedName>
    <definedName name="uu" localSheetId="5">#REF!</definedName>
    <definedName name="uu">#REF!</definedName>
    <definedName name="VAÄT_LIEÄU">"ATRAM"</definedName>
    <definedName name="Value0" localSheetId="0">#REF!</definedName>
    <definedName name="Value0" localSheetId="1">#REF!</definedName>
    <definedName name="Value0" localSheetId="5">#REF!</definedName>
    <definedName name="Value0">#REF!</definedName>
    <definedName name="Value1" localSheetId="0">#REF!</definedName>
    <definedName name="Value1" localSheetId="1">#REF!</definedName>
    <definedName name="Value1" localSheetId="5">#REF!</definedName>
    <definedName name="Value1">#REF!</definedName>
    <definedName name="Value10" localSheetId="0">#REF!</definedName>
    <definedName name="Value10" localSheetId="1">#REF!</definedName>
    <definedName name="Value10" localSheetId="5">#REF!</definedName>
    <definedName name="Value10">#REF!</definedName>
    <definedName name="Value11">#REF!</definedName>
    <definedName name="Value12">#REF!</definedName>
    <definedName name="Value13">#REF!</definedName>
    <definedName name="Value14">#REF!</definedName>
    <definedName name="Value15">#REF!</definedName>
    <definedName name="Value16">#REF!</definedName>
    <definedName name="Value17">#REF!</definedName>
    <definedName name="Value18">#REF!</definedName>
    <definedName name="Value19">#REF!</definedName>
    <definedName name="Value2">#REF!</definedName>
    <definedName name="Value20">#REF!</definedName>
    <definedName name="Value21">#REF!</definedName>
    <definedName name="Value22">#REF!</definedName>
    <definedName name="Value23">#REF!</definedName>
    <definedName name="Value24">#REF!</definedName>
    <definedName name="Value25">#REF!</definedName>
    <definedName name="Value26">#REF!</definedName>
    <definedName name="Value27">#REF!</definedName>
    <definedName name="Value28">#REF!</definedName>
    <definedName name="Value29">#REF!</definedName>
    <definedName name="Value3">#REF!</definedName>
    <definedName name="Value30">#REF!</definedName>
    <definedName name="Value31">#REF!</definedName>
    <definedName name="Value32">#REF!</definedName>
    <definedName name="Value33">#REF!</definedName>
    <definedName name="Value34">#REF!</definedName>
    <definedName name="Value35">#REF!</definedName>
    <definedName name="Value36">#REF!</definedName>
    <definedName name="Value37">#REF!</definedName>
    <definedName name="Value38">#REF!</definedName>
    <definedName name="Value39">#REF!</definedName>
    <definedName name="Value4">#REF!</definedName>
    <definedName name="Value40">#REF!</definedName>
    <definedName name="Value41">#REF!</definedName>
    <definedName name="Value42">#REF!</definedName>
    <definedName name="Value43">#REF!</definedName>
    <definedName name="Value44">#REF!</definedName>
    <definedName name="Value45">#REF!</definedName>
    <definedName name="Value46">#REF!</definedName>
    <definedName name="Value47">#REF!</definedName>
    <definedName name="Value48">#REF!</definedName>
    <definedName name="Value49">#REF!</definedName>
    <definedName name="Value5">#REF!</definedName>
    <definedName name="Value50">#REF!</definedName>
    <definedName name="Value51">#REF!</definedName>
    <definedName name="Value52">#REF!</definedName>
    <definedName name="Value53">#REF!</definedName>
    <definedName name="Value54">#REF!</definedName>
    <definedName name="Value55">#REF!</definedName>
    <definedName name="Value6">#REF!</definedName>
    <definedName name="Value7">#REF!</definedName>
    <definedName name="Value8">#REF!</definedName>
    <definedName name="Value9">#REF!</definedName>
    <definedName name="Values_Entered" localSheetId="5">IF(Loan_Amount*Interest_Rate*Loan_Years*Loan_Start&gt;0,1,0)</definedName>
    <definedName name="Values_Entered">IF(Loan_Amount*Interest_Rate*Loan_Years*Loan_Start&gt;0,1,0)</definedName>
    <definedName name="VAN_CHUYEN_DUONG_DAI_DZ0.4KV" localSheetId="0">#REF!</definedName>
    <definedName name="VAN_CHUYEN_DUONG_DAI_DZ0.4KV" localSheetId="1">#REF!</definedName>
    <definedName name="VAN_CHUYEN_DUONG_DAI_DZ0.4KV" localSheetId="5">#REF!</definedName>
    <definedName name="VAN_CHUYEN_DUONG_DAI_DZ0.4KV">#REF!</definedName>
    <definedName name="VAN_CHUYEN_DUONG_DAI_DZ22KV" localSheetId="0">#REF!</definedName>
    <definedName name="VAN_CHUYEN_DUONG_DAI_DZ22KV" localSheetId="1">#REF!</definedName>
    <definedName name="VAN_CHUYEN_DUONG_DAI_DZ22KV" localSheetId="5">#REF!</definedName>
    <definedName name="VAN_CHUYEN_DUONG_DAI_DZ22KV">#REF!</definedName>
    <definedName name="VAN_CHUYEN_VAT_TU_CHUNG" localSheetId="0">#REF!</definedName>
    <definedName name="VAN_CHUYEN_VAT_TU_CHUNG" localSheetId="1">#REF!</definedName>
    <definedName name="VAN_CHUYEN_VAT_TU_CHUNG" localSheetId="5">#REF!</definedName>
    <definedName name="VAN_CHUYEN_VAT_TU_CHUNG">#REF!</definedName>
    <definedName name="VAN_TRUNG_CHUYEN_VAT_TU_CHUNG">#REF!</definedName>
    <definedName name="vanchuyen">#REF!</definedName>
    <definedName name="VARIINST">#REF!</definedName>
    <definedName name="VARIPURC">#REF!</definedName>
    <definedName name="vat">#REF!</definedName>
    <definedName name="VAT_LIEU_DEN_CHAN_CONG_TRINH">#REF!</definedName>
    <definedName name="vat_lieu_KVIII">#REF!</definedName>
    <definedName name="VATM" localSheetId="9" hidden="1">{"'Sheet1'!$L$16"}</definedName>
    <definedName name="VATM" localSheetId="0" hidden="1">{"'Sheet1'!$L$16"}</definedName>
    <definedName name="VATM" localSheetId="1" hidden="1">{"'Sheet1'!$L$16"}</definedName>
    <definedName name="VATM" localSheetId="5" hidden="1">{"'Sheet1'!$L$16"}</definedName>
    <definedName name="VATM" hidden="1">{"'Sheet1'!$L$16"}</definedName>
    <definedName name="Vattu">#REF!</definedName>
    <definedName name="vbtchongnuocm300">#REF!</definedName>
    <definedName name="vbtm150">#REF!</definedName>
    <definedName name="vbtm300">#REF!</definedName>
    <definedName name="vbtm400">#REF!</definedName>
    <definedName name="VC">#REF!</definedName>
    <definedName name="vccot">#REF!</definedName>
    <definedName name="vcdc">#REF!</definedName>
    <definedName name="VCHT">#REF!</definedName>
    <definedName name="vclcat" localSheetId="5">'Mau 05 UB'!vclcat</definedName>
    <definedName name="vclcat">[6]!vclcat</definedName>
    <definedName name="vcoto" localSheetId="5" hidden="1">{"'Sheet1'!$L$16"}</definedName>
    <definedName name="vcoto" hidden="1">{"'Sheet1'!$L$16"}</definedName>
    <definedName name="vct">#REF!</definedName>
    <definedName name="vctb">#REF!</definedName>
    <definedName name="VCVBT1">#REF!</definedName>
    <definedName name="VCVBT2">#REF!</definedName>
    <definedName name="vd3p">#REF!</definedName>
    <definedName name="vgk">#REF!</definedName>
    <definedName name="vgt">#REF!</definedName>
    <definedName name="VH" localSheetId="5" hidden="1">{"'Sheet1'!$L$16"}</definedName>
    <definedName name="VH" hidden="1">{"'Sheet1'!$L$16"}</definedName>
    <definedName name="Viet" localSheetId="5" hidden="1">{"'Sheet1'!$L$16"}</definedName>
    <definedName name="Viet" hidden="1">{"'Sheet1'!$L$16"}</definedName>
    <definedName name="vkcauthang">#REF!</definedName>
    <definedName name="vksan">#REF!</definedName>
    <definedName name="vl">#REF!</definedName>
    <definedName name="vl3p">#REF!</definedName>
    <definedName name="Vlcap0.7">#REF!</definedName>
    <definedName name="VLcap1">#REF!</definedName>
    <definedName name="vlct" localSheetId="5" hidden="1">{"'Sheet1'!$L$16"}</definedName>
    <definedName name="vlct" hidden="1">{"'Sheet1'!$L$16"}</definedName>
    <definedName name="VLCT3p">#REF!</definedName>
    <definedName name="vldg">#REF!</definedName>
    <definedName name="vldn400">#REF!</definedName>
    <definedName name="vldn600">#REF!</definedName>
    <definedName name="VLIEU">#REF!</definedName>
    <definedName name="VLM">#REF!</definedName>
    <definedName name="vltram">#REF!</definedName>
    <definedName name="vr3p">#REF!</definedName>
    <definedName name="Vua">#REF!</definedName>
    <definedName name="W">#REF!</definedName>
    <definedName name="Winpoints">3</definedName>
    <definedName name="WIRE1">5</definedName>
    <definedName name="wrn.chi._.tiÆt." localSheetId="9" hidden="1">{#N/A,#N/A,FALSE,"Chi tiÆt"}</definedName>
    <definedName name="wrn.chi._.tiÆt." localSheetId="0" hidden="1">{#N/A,#N/A,FALSE,"Chi tiÆt"}</definedName>
    <definedName name="wrn.chi._.tiÆt." localSheetId="1" hidden="1">{#N/A,#N/A,FALSE,"Chi tiÆt"}</definedName>
    <definedName name="wrn.chi._.tiÆt." localSheetId="5" hidden="1">{#N/A,#N/A,FALSE,"Chi tiÆt"}</definedName>
    <definedName name="wrn.chi._.tiÆt." hidden="1">{#N/A,#N/A,FALSE,"Chi tiÆt"}</definedName>
    <definedName name="wrn.vd." localSheetId="9" hidden="1">{#N/A,#N/A,TRUE,"BT M200 da 10x20"}</definedName>
    <definedName name="wrn.vd." localSheetId="0" hidden="1">{#N/A,#N/A,TRUE,"BT M200 da 10x20"}</definedName>
    <definedName name="wrn.vd." localSheetId="1" hidden="1">{#N/A,#N/A,TRUE,"BT M200 da 10x20"}</definedName>
    <definedName name="wrn.vd." localSheetId="5" hidden="1">{#N/A,#N/A,TRUE,"BT M200 da 10x20"}</definedName>
    <definedName name="wrn.vd." hidden="1">{#N/A,#N/A,TRUE,"BT M200 da 10x20"}</definedName>
    <definedName name="X" localSheetId="0">#REF!</definedName>
    <definedName name="X" localSheetId="1">#REF!</definedName>
    <definedName name="X" localSheetId="5">#REF!</definedName>
    <definedName name="X">#REF!</definedName>
    <definedName name="x1pind" localSheetId="0">#REF!</definedName>
    <definedName name="x1pind" localSheetId="1">#REF!</definedName>
    <definedName name="x1pind" localSheetId="5">#REF!</definedName>
    <definedName name="x1pind">#REF!</definedName>
    <definedName name="X1pINDnc" localSheetId="0">#REF!</definedName>
    <definedName name="X1pINDnc" localSheetId="1">#REF!</definedName>
    <definedName name="X1pINDnc" localSheetId="5">#REF!</definedName>
    <definedName name="X1pINDnc">#REF!</definedName>
    <definedName name="X1pINDvc">#REF!</definedName>
    <definedName name="X1pINDvl">#REF!</definedName>
    <definedName name="x1ping">#REF!</definedName>
    <definedName name="X1pINGnc">#REF!</definedName>
    <definedName name="X1pINGvc">#REF!</definedName>
    <definedName name="X1pINGvl">#REF!</definedName>
    <definedName name="x1pint">#REF!</definedName>
    <definedName name="XBCNCKT">5600</definedName>
    <definedName name="XCCT">0.5</definedName>
    <definedName name="xd0.6">#REF!</definedName>
    <definedName name="xd1.3">#REF!</definedName>
    <definedName name="xd1.5">#REF!</definedName>
    <definedName name="xfco">#REF!</definedName>
    <definedName name="xfco3p">#REF!</definedName>
    <definedName name="XFCOnc">#REF!</definedName>
    <definedName name="xfcotnc">#REF!</definedName>
    <definedName name="xfcotvl">#REF!</definedName>
    <definedName name="XFCOvl">#REF!</definedName>
    <definedName name="xgc100">#REF!</definedName>
    <definedName name="xgc150">#REF!</definedName>
    <definedName name="xgc200">#REF!</definedName>
    <definedName name="xh">#REF!</definedName>
    <definedName name="xhn">#REF!</definedName>
    <definedName name="xig">#REF!</definedName>
    <definedName name="xig1">#REF!</definedName>
    <definedName name="xig1p">#REF!</definedName>
    <definedName name="xig3p">#REF!</definedName>
    <definedName name="XIGnc">#REF!</definedName>
    <definedName name="XIGvc">#REF!</definedName>
    <definedName name="XIGvl">#REF!</definedName>
    <definedName name="ximang">#REF!</definedName>
    <definedName name="xin">#REF!</definedName>
    <definedName name="xin190">#REF!</definedName>
    <definedName name="xin1903p">#REF!</definedName>
    <definedName name="xin3p">#REF!</definedName>
    <definedName name="xind">#REF!</definedName>
    <definedName name="xind1p">#REF!</definedName>
    <definedName name="xind3p">#REF!</definedName>
    <definedName name="xindnc1p">#REF!</definedName>
    <definedName name="xindvl1p">#REF!</definedName>
    <definedName name="xing1p">#REF!</definedName>
    <definedName name="xingnc1p">#REF!</definedName>
    <definedName name="xingvl1p">#REF!</definedName>
    <definedName name="XINnc">#REF!</definedName>
    <definedName name="xint1p">#REF!</definedName>
    <definedName name="XINvc">#REF!</definedName>
    <definedName name="XINvl">#REF!</definedName>
    <definedName name="xit">#REF!</definedName>
    <definedName name="xit1">#REF!</definedName>
    <definedName name="xit1p">#REF!</definedName>
    <definedName name="xit23p">#REF!</definedName>
    <definedName name="xit3p">#REF!</definedName>
    <definedName name="XITnc">#REF!</definedName>
    <definedName name="XITvc">#REF!</definedName>
    <definedName name="XITvl">#REF!</definedName>
    <definedName name="xk0.6">#REF!</definedName>
    <definedName name="xk1.3">#REF!</definedName>
    <definedName name="xk1.5">#REF!</definedName>
    <definedName name="xld1.4">#REF!</definedName>
    <definedName name="xlk1.4">#REF!</definedName>
    <definedName name="xls" localSheetId="5" hidden="1">{"'Sheet1'!$L$16"}</definedName>
    <definedName name="xls" hidden="1">{"'Sheet1'!$L$16"}</definedName>
    <definedName name="xlttbninh" localSheetId="5" hidden="1">{"'Sheet1'!$L$16"}</definedName>
    <definedName name="xlttbninh" hidden="1">{"'Sheet1'!$L$16"}</definedName>
    <definedName name="xm">[2]gvl!$N$16</definedName>
    <definedName name="xm..">[2]gvl!$N$16</definedName>
    <definedName name="xm.1">[2]gvl!$N$16</definedName>
    <definedName name="xmcax" localSheetId="0">#REF!</definedName>
    <definedName name="xmcax" localSheetId="1">#REF!</definedName>
    <definedName name="xmcax" localSheetId="5">#REF!</definedName>
    <definedName name="xmcax">#REF!</definedName>
    <definedName name="xn" localSheetId="0">#REF!</definedName>
    <definedName name="xn" localSheetId="1">#REF!</definedName>
    <definedName name="xn" localSheetId="5">#REF!</definedName>
    <definedName name="xn">#REF!</definedName>
    <definedName name="XTKKTTC">7500</definedName>
    <definedName name="xx" localSheetId="0">#REF!</definedName>
    <definedName name="xx" localSheetId="1">#REF!</definedName>
    <definedName name="xx" localSheetId="5">#REF!</definedName>
    <definedName name="xx">#REF!</definedName>
    <definedName name="y" localSheetId="0">#REF!</definedName>
    <definedName name="y" localSheetId="1">#REF!</definedName>
    <definedName name="y" localSheetId="5">#REF!</definedName>
    <definedName name="y">#REF!</definedName>
    <definedName name="yuyuyu" localSheetId="9" hidden="1">{"'Sheet1'!$L$16"}</definedName>
    <definedName name="yuyuyu" localSheetId="0" hidden="1">{"'Sheet1'!$L$16"}</definedName>
    <definedName name="yuyuyu" localSheetId="1" hidden="1">{"'Sheet1'!$L$16"}</definedName>
    <definedName name="yuyuyu" localSheetId="5" hidden="1">{"'Sheet1'!$L$16"}</definedName>
    <definedName name="yuyuyu" hidden="1">{"'Sheet1'!$L$16"}</definedName>
    <definedName name="z">#REF!</definedName>
    <definedName name="ZXD">#REF!</definedName>
    <definedName name="ZYX">#REF!</definedName>
    <definedName name="ZZZ">#REF!</definedName>
    <definedName name="템플리트모듈1" localSheetId="5">BlankMacro1</definedName>
    <definedName name="템플리트모듈1">BlankMacro1</definedName>
    <definedName name="템플리트모듈2" localSheetId="5">BlankMacro1</definedName>
    <definedName name="템플리트모듈2">BlankMacro1</definedName>
    <definedName name="템플리트모듈3" localSheetId="5">BlankMacro1</definedName>
    <definedName name="템플리트모듈3">BlankMacro1</definedName>
    <definedName name="템플리트모듈4" localSheetId="5">BlankMacro1</definedName>
    <definedName name="템플리트모듈4">BlankMacro1</definedName>
    <definedName name="템플리트모듈5" localSheetId="5">BlankMacro1</definedName>
    <definedName name="템플리트모듈5">BlankMacro1</definedName>
    <definedName name="템플리트모듈6" localSheetId="5">BlankMacro1</definedName>
    <definedName name="템플리트모듈6">BlankMacro1</definedName>
    <definedName name="피팅" localSheetId="5">BlankMacro1</definedName>
    <definedName name="피팅">BlankMacro1</definedName>
  </definedNames>
  <calcPr calcId="144525"/>
</workbook>
</file>

<file path=xl/calcChain.xml><?xml version="1.0" encoding="utf-8"?>
<calcChain xmlns="http://schemas.openxmlformats.org/spreadsheetml/2006/main">
  <c r="G22" i="29" l="1"/>
  <c r="G8" i="47" l="1"/>
  <c r="D216" i="47"/>
  <c r="D212" i="47" s="1"/>
  <c r="D205" i="47"/>
  <c r="D200" i="47"/>
  <c r="D191" i="47"/>
  <c r="D190" i="47" s="1"/>
  <c r="D187" i="47"/>
  <c r="D185" i="47" s="1"/>
  <c r="C185" i="47"/>
  <c r="D183" i="47"/>
  <c r="D181" i="47" s="1"/>
  <c r="C181" i="47"/>
  <c r="C173" i="47"/>
  <c r="D177" i="47" s="1"/>
  <c r="D173" i="47" s="1"/>
  <c r="C169" i="47"/>
  <c r="D171" i="47" s="1"/>
  <c r="D169" i="47" s="1"/>
  <c r="D165" i="47"/>
  <c r="D163" i="47" s="1"/>
  <c r="C163" i="47"/>
  <c r="D160" i="47"/>
  <c r="D158" i="47" s="1"/>
  <c r="C158" i="47"/>
  <c r="C152" i="47"/>
  <c r="D154" i="47" s="1"/>
  <c r="D152" i="47" s="1"/>
  <c r="C148" i="47"/>
  <c r="D150" i="47" s="1"/>
  <c r="D148" i="47" s="1"/>
  <c r="D145" i="47"/>
  <c r="D143" i="47" s="1"/>
  <c r="C143" i="47"/>
  <c r="D141" i="47"/>
  <c r="D139" i="47" s="1"/>
  <c r="C139" i="47"/>
  <c r="C134" i="47"/>
  <c r="D136" i="47" s="1"/>
  <c r="D134" i="47" s="1"/>
  <c r="C130" i="47"/>
  <c r="D132" i="47" s="1"/>
  <c r="D130" i="47" s="1"/>
  <c r="D127" i="47"/>
  <c r="D125" i="47" s="1"/>
  <c r="C125" i="47"/>
  <c r="D122" i="47"/>
  <c r="D120" i="47" s="1"/>
  <c r="C120" i="47"/>
  <c r="C114" i="47"/>
  <c r="D116" i="47" s="1"/>
  <c r="D114" i="47" s="1"/>
  <c r="C108" i="47"/>
  <c r="D110" i="47" s="1"/>
  <c r="D108" i="47" s="1"/>
  <c r="C103" i="47"/>
  <c r="D105" i="47" s="1"/>
  <c r="D103" i="47" s="1"/>
  <c r="C98" i="47"/>
  <c r="D100" i="47" s="1"/>
  <c r="D98" i="47" s="1"/>
  <c r="C94" i="47"/>
  <c r="D96" i="47" s="1"/>
  <c r="D94" i="47" s="1"/>
  <c r="C89" i="47"/>
  <c r="D91" i="47" s="1"/>
  <c r="D89" i="47" s="1"/>
  <c r="C83" i="47"/>
  <c r="D85" i="47" s="1"/>
  <c r="D83" i="47" s="1"/>
  <c r="C77" i="47"/>
  <c r="C72" i="47" s="1"/>
  <c r="C73" i="47"/>
  <c r="D75" i="47" s="1"/>
  <c r="D73" i="47" s="1"/>
  <c r="C68" i="47"/>
  <c r="D70" i="47" s="1"/>
  <c r="D68" i="47" s="1"/>
  <c r="D66" i="47"/>
  <c r="D64" i="47" s="1"/>
  <c r="C64" i="47"/>
  <c r="D61" i="47"/>
  <c r="D59" i="47" s="1"/>
  <c r="C59" i="47"/>
  <c r="C55" i="47"/>
  <c r="D57" i="47" s="1"/>
  <c r="D55" i="47" s="1"/>
  <c r="C51" i="47"/>
  <c r="D53" i="47" s="1"/>
  <c r="D51" i="47" s="1"/>
  <c r="D49" i="47"/>
  <c r="D47" i="47" s="1"/>
  <c r="C47" i="47"/>
  <c r="D45" i="47"/>
  <c r="D43" i="47" s="1"/>
  <c r="C43" i="47"/>
  <c r="C38" i="47"/>
  <c r="D40" i="47" s="1"/>
  <c r="D38" i="47" s="1"/>
  <c r="C33" i="47"/>
  <c r="D35" i="47" s="1"/>
  <c r="D33" i="47" s="1"/>
  <c r="D31" i="47"/>
  <c r="D29" i="47" s="1"/>
  <c r="C29" i="47"/>
  <c r="D27" i="47"/>
  <c r="D25" i="47" s="1"/>
  <c r="C25" i="47"/>
  <c r="C20" i="47"/>
  <c r="D22" i="47" s="1"/>
  <c r="D20" i="47" s="1"/>
  <c r="C16" i="47"/>
  <c r="D13" i="47"/>
  <c r="D11" i="47" s="1"/>
  <c r="C11" i="47"/>
  <c r="C10" i="47" l="1"/>
  <c r="D198" i="47"/>
  <c r="D197" i="47" s="1"/>
  <c r="C8" i="47"/>
  <c r="D113" i="47"/>
  <c r="C113" i="47"/>
  <c r="C9" i="47" s="1"/>
  <c r="D18" i="47"/>
  <c r="D16" i="47" s="1"/>
  <c r="D10" i="47" s="1"/>
  <c r="D79" i="47"/>
  <c r="D77" i="47" s="1"/>
  <c r="D72" i="47" s="1"/>
  <c r="AB56" i="25"/>
  <c r="Z56" i="25"/>
  <c r="X56" i="25"/>
  <c r="V56" i="25"/>
  <c r="Q56" i="25"/>
  <c r="O56" i="25"/>
  <c r="M56" i="25"/>
  <c r="K56" i="25"/>
  <c r="I56" i="25"/>
  <c r="G56" i="25"/>
  <c r="D9" i="47" l="1"/>
  <c r="D8" i="47" s="1"/>
  <c r="G27" i="29"/>
  <c r="E25" i="25" l="1"/>
  <c r="E26" i="25"/>
  <c r="E27" i="25"/>
  <c r="E28" i="25"/>
  <c r="E21" i="25"/>
  <c r="E31" i="25"/>
  <c r="E41" i="25"/>
  <c r="E63" i="25"/>
  <c r="E64" i="25"/>
  <c r="E75" i="25"/>
  <c r="E74" i="25"/>
  <c r="E73" i="25"/>
  <c r="E67" i="25"/>
  <c r="E68" i="25"/>
  <c r="E69" i="25"/>
  <c r="E70" i="25"/>
  <c r="E71" i="25"/>
  <c r="E66" i="25"/>
  <c r="E62" i="25"/>
  <c r="E59" i="25"/>
  <c r="E58" i="25"/>
  <c r="E57" i="25"/>
  <c r="E56" i="25"/>
  <c r="E55" i="25"/>
  <c r="E54" i="25"/>
  <c r="E53" i="25"/>
  <c r="E52" i="25"/>
  <c r="E51" i="25"/>
  <c r="E50" i="25"/>
  <c r="E49" i="25"/>
  <c r="E48" i="25"/>
  <c r="E47" i="25"/>
  <c r="E46" i="25"/>
  <c r="E45" i="25"/>
  <c r="E44" i="25"/>
  <c r="E43" i="25"/>
  <c r="E42" i="25"/>
  <c r="E40" i="25"/>
  <c r="E39" i="25"/>
  <c r="E38" i="25"/>
  <c r="E34" i="25"/>
  <c r="E35" i="25"/>
  <c r="E36" i="25"/>
  <c r="E33" i="25"/>
  <c r="E30" i="25"/>
  <c r="E24" i="25"/>
  <c r="E23" i="25"/>
  <c r="E22" i="25"/>
  <c r="E20" i="25"/>
  <c r="E16" i="25"/>
  <c r="E18" i="25"/>
  <c r="E17" i="25"/>
  <c r="E14" i="25"/>
  <c r="E10" i="25"/>
  <c r="X73" i="25" l="1"/>
  <c r="Z73" i="25"/>
  <c r="AB73" i="25"/>
  <c r="S73" i="25"/>
  <c r="Q73" i="25"/>
  <c r="O73" i="25"/>
  <c r="M73" i="25"/>
  <c r="I73" i="25"/>
  <c r="G73" i="25"/>
  <c r="S23" i="25"/>
  <c r="G23" i="25"/>
  <c r="I23" i="25"/>
  <c r="K23" i="25"/>
  <c r="M23" i="25"/>
  <c r="O23" i="25"/>
  <c r="Q23" i="25"/>
  <c r="V23" i="25"/>
  <c r="X23" i="25"/>
  <c r="Z23" i="25"/>
  <c r="AB23" i="25"/>
  <c r="F22" i="25"/>
  <c r="H22" i="25"/>
  <c r="J22" i="25"/>
  <c r="L22" i="25"/>
  <c r="N22" i="25"/>
  <c r="P22" i="25"/>
  <c r="R22" i="25"/>
  <c r="U22" i="25"/>
  <c r="W22" i="25"/>
  <c r="Y22" i="25"/>
  <c r="F18" i="40" l="1"/>
  <c r="F14" i="40"/>
  <c r="F13" i="40"/>
  <c r="F12" i="40"/>
  <c r="F9" i="40"/>
  <c r="F8" i="40"/>
  <c r="T10" i="17" l="1"/>
  <c r="H37" i="16"/>
  <c r="M353" i="23"/>
  <c r="J353" i="23"/>
  <c r="H353" i="23" l="1"/>
  <c r="G353" i="23" s="1"/>
  <c r="E353" i="23" s="1"/>
  <c r="F353" i="23" s="1"/>
  <c r="D99" i="23"/>
  <c r="I99" i="23"/>
  <c r="K99" i="23"/>
  <c r="L99" i="23"/>
  <c r="N99" i="23"/>
  <c r="O99" i="23"/>
  <c r="P99" i="23"/>
  <c r="Q99" i="23"/>
  <c r="R99" i="23"/>
  <c r="C99" i="23"/>
  <c r="M100" i="23"/>
  <c r="J100" i="23"/>
  <c r="H100" i="23" l="1"/>
  <c r="D65" i="23"/>
  <c r="D64" i="23"/>
  <c r="M77" i="23"/>
  <c r="J77" i="23"/>
  <c r="M78" i="23"/>
  <c r="J78" i="23"/>
  <c r="H78" i="23" s="1"/>
  <c r="G78" i="23" s="1"/>
  <c r="E78" i="23" s="1"/>
  <c r="F78" i="23" s="1"/>
  <c r="H77" i="23" l="1"/>
  <c r="G77" i="23" s="1"/>
  <c r="E77" i="23" s="1"/>
  <c r="F77" i="23" s="1"/>
  <c r="G100" i="23"/>
  <c r="J253" i="23"/>
  <c r="O196" i="23"/>
  <c r="P131" i="23"/>
  <c r="M104" i="23"/>
  <c r="J104" i="23"/>
  <c r="M103" i="23"/>
  <c r="J103" i="23"/>
  <c r="M102" i="23"/>
  <c r="J102" i="23"/>
  <c r="M321" i="23"/>
  <c r="H102" i="23" l="1"/>
  <c r="G102" i="23" s="1"/>
  <c r="E102" i="23" s="1"/>
  <c r="F102" i="23" s="1"/>
  <c r="H104" i="23"/>
  <c r="G104" i="23" s="1"/>
  <c r="E104" i="23" s="1"/>
  <c r="F104" i="23" s="1"/>
  <c r="H103" i="23"/>
  <c r="G103" i="23" s="1"/>
  <c r="E103" i="23" s="1"/>
  <c r="F103" i="23" s="1"/>
  <c r="E100" i="23"/>
  <c r="J416" i="23"/>
  <c r="F100" i="23" l="1"/>
  <c r="M181" i="23"/>
  <c r="J181" i="23"/>
  <c r="H181" i="23" l="1"/>
  <c r="G181" i="23" s="1"/>
  <c r="E181" i="23" s="1"/>
  <c r="F181" i="23" s="1"/>
  <c r="R17" i="25" l="1"/>
  <c r="R34" i="25"/>
  <c r="R35" i="25"/>
  <c r="R36" i="25"/>
  <c r="R39" i="25"/>
  <c r="R40" i="25"/>
  <c r="R38" i="25"/>
  <c r="R43" i="25"/>
  <c r="R44" i="25"/>
  <c r="R45" i="25"/>
  <c r="R41" i="25"/>
  <c r="R74" i="25"/>
  <c r="R75" i="25"/>
  <c r="R67" i="25"/>
  <c r="R68" i="25"/>
  <c r="R69" i="25"/>
  <c r="R70" i="25"/>
  <c r="R71" i="25"/>
  <c r="R66" i="25"/>
  <c r="R37" i="25" l="1"/>
  <c r="Z9" i="25"/>
  <c r="P39" i="23" l="1"/>
  <c r="M302" i="23" l="1"/>
  <c r="J289" i="23" l="1"/>
  <c r="Z66" i="25" l="1"/>
  <c r="Z70" i="25"/>
  <c r="Z68" i="25"/>
  <c r="Z67" i="25"/>
  <c r="I415" i="23" l="1"/>
  <c r="K415" i="23"/>
  <c r="D178" i="23"/>
  <c r="I178" i="23"/>
  <c r="K178" i="23"/>
  <c r="L178" i="23"/>
  <c r="N178" i="23"/>
  <c r="O178" i="23"/>
  <c r="P178" i="23"/>
  <c r="Q178" i="23"/>
  <c r="R178" i="23"/>
  <c r="C178" i="23"/>
  <c r="J187" i="23"/>
  <c r="J188" i="23"/>
  <c r="J189" i="23"/>
  <c r="J190" i="23"/>
  <c r="J191" i="23"/>
  <c r="J192" i="23"/>
  <c r="J193" i="23"/>
  <c r="M187" i="23"/>
  <c r="M188" i="23"/>
  <c r="M189" i="23"/>
  <c r="M190" i="23"/>
  <c r="M191" i="23"/>
  <c r="M192" i="23"/>
  <c r="M193" i="23"/>
  <c r="M146" i="23"/>
  <c r="H146" i="23" s="1"/>
  <c r="G146" i="23" s="1"/>
  <c r="M147" i="23"/>
  <c r="H147" i="23" s="1"/>
  <c r="G147" i="23" s="1"/>
  <c r="M148" i="23"/>
  <c r="H148" i="23" s="1"/>
  <c r="G148" i="23" s="1"/>
  <c r="C330" i="23"/>
  <c r="C325" i="23"/>
  <c r="N261" i="23"/>
  <c r="N227" i="23"/>
  <c r="N200" i="23"/>
  <c r="N175" i="23"/>
  <c r="H188" i="23" l="1"/>
  <c r="G188" i="23" s="1"/>
  <c r="E188" i="23" s="1"/>
  <c r="H192" i="23"/>
  <c r="G192" i="23" s="1"/>
  <c r="E192" i="23" s="1"/>
  <c r="H190" i="23"/>
  <c r="G190" i="23" s="1"/>
  <c r="E190" i="23" s="1"/>
  <c r="H193" i="23"/>
  <c r="G193" i="23" s="1"/>
  <c r="E193" i="23" s="1"/>
  <c r="H189" i="23"/>
  <c r="G189" i="23" s="1"/>
  <c r="E189" i="23" s="1"/>
  <c r="H191" i="23"/>
  <c r="G191" i="23" s="1"/>
  <c r="E191" i="23" s="1"/>
  <c r="H187" i="23"/>
  <c r="G187" i="23" s="1"/>
  <c r="E187" i="23" s="1"/>
  <c r="D45" i="25" l="1"/>
  <c r="F45" i="25"/>
  <c r="H45" i="25"/>
  <c r="J45" i="25"/>
  <c r="L45" i="25"/>
  <c r="N45" i="25"/>
  <c r="P45" i="25"/>
  <c r="U45" i="25"/>
  <c r="W45" i="25"/>
  <c r="Y45" i="25"/>
  <c r="AA45" i="25"/>
  <c r="C45" i="25" l="1"/>
  <c r="F41" i="25"/>
  <c r="AA41" i="25"/>
  <c r="Y41" i="25"/>
  <c r="W41" i="25"/>
  <c r="U41" i="25"/>
  <c r="P41" i="25"/>
  <c r="N41" i="25"/>
  <c r="L41" i="25"/>
  <c r="J41" i="25"/>
  <c r="H41" i="25"/>
  <c r="D41" i="25"/>
  <c r="I19" i="25"/>
  <c r="O19" i="25"/>
  <c r="Q19" i="25"/>
  <c r="S19" i="25"/>
  <c r="I16" i="25"/>
  <c r="I15" i="25" l="1"/>
  <c r="R21" i="25"/>
  <c r="C41" i="25" l="1"/>
  <c r="D21" i="25"/>
  <c r="C21" i="25" s="1"/>
  <c r="Q51" i="25" l="1"/>
  <c r="F130" i="23" l="1"/>
  <c r="F146" i="23"/>
  <c r="F147" i="23"/>
  <c r="F192" i="23"/>
  <c r="F193" i="23"/>
  <c r="F256" i="23"/>
  <c r="F333" i="23"/>
  <c r="F334" i="23"/>
  <c r="F343" i="23"/>
  <c r="F395" i="23"/>
  <c r="C323" i="23" l="1"/>
  <c r="C315" i="23" s="1"/>
  <c r="C400" i="23"/>
  <c r="C87" i="23"/>
  <c r="C86" i="23" s="1"/>
  <c r="C132" i="23"/>
  <c r="D415" i="23"/>
  <c r="L415" i="23"/>
  <c r="N415" i="23"/>
  <c r="O415" i="23"/>
  <c r="P415" i="23"/>
  <c r="Q415" i="23"/>
  <c r="R415" i="23"/>
  <c r="C415" i="23"/>
  <c r="C390" i="23"/>
  <c r="C344" i="23"/>
  <c r="D315" i="23"/>
  <c r="I315" i="23"/>
  <c r="K315" i="23"/>
  <c r="L315" i="23"/>
  <c r="O315" i="23"/>
  <c r="P315" i="23"/>
  <c r="Q315" i="23"/>
  <c r="R315" i="23"/>
  <c r="M322" i="23"/>
  <c r="H322" i="23" s="1"/>
  <c r="G322" i="23" s="1"/>
  <c r="E322" i="23" s="1"/>
  <c r="F322" i="23" s="1"/>
  <c r="C198" i="23"/>
  <c r="M214" i="23"/>
  <c r="J214" i="23"/>
  <c r="H214" i="23" l="1"/>
  <c r="G214" i="23" s="1"/>
  <c r="E214" i="23" s="1"/>
  <c r="F214" i="23" s="1"/>
  <c r="C66" i="23" l="1"/>
  <c r="C54" i="23"/>
  <c r="C30" i="23"/>
  <c r="C35" i="23"/>
  <c r="C34" i="23"/>
  <c r="C37" i="23"/>
  <c r="C39" i="23"/>
  <c r="C36" i="23"/>
  <c r="E41" i="29" l="1"/>
  <c r="E36" i="29"/>
  <c r="E31" i="29"/>
  <c r="E20" i="29"/>
  <c r="E17" i="29" s="1"/>
  <c r="E14" i="29"/>
  <c r="E12" i="29" s="1"/>
  <c r="E10" i="29" s="1"/>
  <c r="F67" i="7"/>
  <c r="F66" i="7"/>
  <c r="F54" i="7"/>
  <c r="F52" i="7" s="1"/>
  <c r="E52" i="7"/>
  <c r="F50" i="7"/>
  <c r="F48" i="7" s="1"/>
  <c r="E48" i="7"/>
  <c r="F43" i="7"/>
  <c r="E36" i="7"/>
  <c r="E35" i="7" s="1"/>
  <c r="F35" i="7"/>
  <c r="F24" i="7"/>
  <c r="F23" i="7" s="1"/>
  <c r="E23" i="7"/>
  <c r="F18" i="7"/>
  <c r="F17" i="7" s="1"/>
  <c r="E17" i="7"/>
  <c r="E15" i="7"/>
  <c r="E9" i="7" s="1"/>
  <c r="F9" i="7"/>
  <c r="F32" i="6"/>
  <c r="F26" i="6"/>
  <c r="F20" i="6"/>
  <c r="F18" i="6" s="1"/>
  <c r="F15" i="6"/>
  <c r="F9" i="6"/>
  <c r="J31" i="17"/>
  <c r="J30" i="17"/>
  <c r="J29" i="17"/>
  <c r="P28" i="17"/>
  <c r="O28" i="17"/>
  <c r="N28" i="17"/>
  <c r="M28" i="17"/>
  <c r="L28" i="17"/>
  <c r="K28" i="17"/>
  <c r="J27" i="17"/>
  <c r="J26" i="17"/>
  <c r="J25" i="17"/>
  <c r="J24" i="17"/>
  <c r="J23" i="17"/>
  <c r="P22" i="17"/>
  <c r="O22" i="17"/>
  <c r="N22" i="17"/>
  <c r="M22" i="17"/>
  <c r="L22" i="17"/>
  <c r="K22" i="17"/>
  <c r="J21" i="17"/>
  <c r="J20" i="17"/>
  <c r="P19" i="17"/>
  <c r="O19" i="17"/>
  <c r="N19" i="17"/>
  <c r="M19" i="17"/>
  <c r="L19" i="17"/>
  <c r="K19" i="17"/>
  <c r="J18" i="17"/>
  <c r="J17" i="17"/>
  <c r="P16" i="17"/>
  <c r="O16" i="17"/>
  <c r="N16" i="17"/>
  <c r="M16" i="17"/>
  <c r="L16" i="17"/>
  <c r="K16" i="17"/>
  <c r="K15" i="17"/>
  <c r="J15" i="17" s="1"/>
  <c r="J14" i="17"/>
  <c r="K13" i="17"/>
  <c r="J13" i="17" s="1"/>
  <c r="J12" i="17"/>
  <c r="J11" i="17"/>
  <c r="M10" i="17"/>
  <c r="M9" i="17" s="1"/>
  <c r="L10" i="17"/>
  <c r="L9" i="17" s="1"/>
  <c r="K10" i="17"/>
  <c r="P9" i="17"/>
  <c r="O9" i="17"/>
  <c r="N9" i="17"/>
  <c r="F76" i="16"/>
  <c r="F72" i="16"/>
  <c r="F71" i="16"/>
  <c r="F54" i="16"/>
  <c r="F50" i="16"/>
  <c r="F47" i="16" s="1"/>
  <c r="F36" i="16"/>
  <c r="F24" i="16"/>
  <c r="F18" i="16"/>
  <c r="F10" i="16"/>
  <c r="N8" i="17" l="1"/>
  <c r="P8" i="17"/>
  <c r="O8" i="17"/>
  <c r="J19" i="17"/>
  <c r="J22" i="17"/>
  <c r="J10" i="17"/>
  <c r="J9" i="17" s="1"/>
  <c r="L8" i="17"/>
  <c r="E8" i="7"/>
  <c r="E7" i="7" s="1"/>
  <c r="F14" i="6"/>
  <c r="E27" i="29"/>
  <c r="E23" i="29" s="1"/>
  <c r="E8" i="29" s="1"/>
  <c r="E7" i="29" s="1"/>
  <c r="F8" i="7"/>
  <c r="F7" i="7" s="1"/>
  <c r="F25" i="6"/>
  <c r="F9" i="16"/>
  <c r="F8" i="16" s="1"/>
  <c r="F7" i="16" s="1"/>
  <c r="K9" i="17"/>
  <c r="K8" i="17" s="1"/>
  <c r="M8" i="17"/>
  <c r="J16" i="17"/>
  <c r="J28" i="17"/>
  <c r="J8" i="17" l="1"/>
  <c r="P116" i="23" l="1"/>
  <c r="J336" i="23"/>
  <c r="M336" i="23"/>
  <c r="G27" i="6"/>
  <c r="G17" i="6"/>
  <c r="P37" i="23"/>
  <c r="P35" i="23"/>
  <c r="D76" i="16"/>
  <c r="D71" i="16"/>
  <c r="D54" i="16"/>
  <c r="D36" i="16"/>
  <c r="D24" i="16"/>
  <c r="D18" i="16"/>
  <c r="D10" i="16"/>
  <c r="G74" i="16"/>
  <c r="G70" i="16"/>
  <c r="G57" i="16"/>
  <c r="G48" i="16"/>
  <c r="G47" i="16"/>
  <c r="G46" i="16"/>
  <c r="G42" i="16"/>
  <c r="G41" i="16"/>
  <c r="G38" i="16"/>
  <c r="G37" i="16"/>
  <c r="G24" i="16"/>
  <c r="G23" i="16"/>
  <c r="G20" i="16"/>
  <c r="G19" i="16"/>
  <c r="G11" i="16"/>
  <c r="G54" i="16" l="1"/>
  <c r="G72" i="16"/>
  <c r="D9" i="16"/>
  <c r="D8" i="16" s="1"/>
  <c r="D7" i="16" s="1"/>
  <c r="H336" i="23"/>
  <c r="G336" i="23" s="1"/>
  <c r="E336" i="23" s="1"/>
  <c r="F336" i="23" s="1"/>
  <c r="G36" i="16"/>
  <c r="G10" i="16"/>
  <c r="G18" i="16"/>
  <c r="F41" i="29"/>
  <c r="F40" i="29"/>
  <c r="F31" i="29"/>
  <c r="F27" i="29"/>
  <c r="F23" i="29" s="1"/>
  <c r="F17" i="29"/>
  <c r="F14" i="29"/>
  <c r="G10" i="6"/>
  <c r="G9" i="6" s="1"/>
  <c r="G32" i="6"/>
  <c r="G26" i="6"/>
  <c r="G18" i="6"/>
  <c r="G15" i="6"/>
  <c r="D27" i="6"/>
  <c r="D32" i="6"/>
  <c r="D18" i="6"/>
  <c r="D15" i="6"/>
  <c r="D9" i="6"/>
  <c r="F12" i="29" l="1"/>
  <c r="F10" i="29" s="1"/>
  <c r="F8" i="29" s="1"/>
  <c r="F7" i="29" s="1"/>
  <c r="D14" i="6"/>
  <c r="D26" i="6"/>
  <c r="D25" i="6" s="1"/>
  <c r="G25" i="6"/>
  <c r="G14" i="6"/>
  <c r="G9" i="16"/>
  <c r="G8" i="16" l="1"/>
  <c r="G7" i="16" l="1"/>
  <c r="P41" i="23" l="1"/>
  <c r="L33" i="23"/>
  <c r="L29" i="23" s="1"/>
  <c r="L28" i="23" s="1"/>
  <c r="M32" i="23"/>
  <c r="J32" i="23"/>
  <c r="M31" i="23"/>
  <c r="J31" i="23"/>
  <c r="H31" i="23" l="1"/>
  <c r="G31" i="23" s="1"/>
  <c r="E31" i="23" s="1"/>
  <c r="F31" i="23" s="1"/>
  <c r="H32" i="23"/>
  <c r="G32" i="23" s="1"/>
  <c r="E32" i="23" s="1"/>
  <c r="F32" i="23" s="1"/>
  <c r="O392" i="23" l="1"/>
  <c r="O391" i="23"/>
  <c r="S33" i="25" l="1"/>
  <c r="D33" i="25" s="1"/>
  <c r="C34" i="25"/>
  <c r="AB54" i="25" l="1"/>
  <c r="Z54" i="25"/>
  <c r="X54" i="25"/>
  <c r="S54" i="25"/>
  <c r="Q54" i="25"/>
  <c r="AA47" i="25"/>
  <c r="Y47" i="25"/>
  <c r="W47" i="25"/>
  <c r="U47" i="25"/>
  <c r="R47" i="25"/>
  <c r="P47" i="25"/>
  <c r="N47" i="25"/>
  <c r="L47" i="25"/>
  <c r="J47" i="25"/>
  <c r="H47" i="25"/>
  <c r="F47" i="25"/>
  <c r="D47" i="25"/>
  <c r="C47" i="25" s="1"/>
  <c r="G46" i="25"/>
  <c r="U42" i="25" l="1"/>
  <c r="H79" i="23" l="1"/>
  <c r="G79" i="23" s="1"/>
  <c r="J279" i="23"/>
  <c r="J120" i="23"/>
  <c r="H120" i="23" s="1"/>
  <c r="G120" i="23" s="1"/>
  <c r="E120" i="23" s="1"/>
  <c r="F120" i="23" s="1"/>
  <c r="I73" i="23"/>
  <c r="H76" i="23"/>
  <c r="G76" i="23" s="1"/>
  <c r="E76" i="23" s="1"/>
  <c r="F76" i="23" s="1"/>
  <c r="J75" i="23"/>
  <c r="M75" i="23"/>
  <c r="AB10" i="25"/>
  <c r="E79" i="23" l="1"/>
  <c r="H75" i="23"/>
  <c r="G75" i="23" s="1"/>
  <c r="E75" i="23" s="1"/>
  <c r="F75" i="23" s="1"/>
  <c r="P60" i="23"/>
  <c r="D51" i="25"/>
  <c r="F51" i="25"/>
  <c r="H51" i="25"/>
  <c r="J51" i="25"/>
  <c r="L51" i="25"/>
  <c r="N51" i="25"/>
  <c r="P51" i="25"/>
  <c r="R51" i="25"/>
  <c r="U51" i="25"/>
  <c r="W51" i="25"/>
  <c r="Y51" i="25"/>
  <c r="AA51" i="25"/>
  <c r="D54" i="23"/>
  <c r="I54" i="23"/>
  <c r="O54" i="23"/>
  <c r="P54" i="23"/>
  <c r="Q54" i="23"/>
  <c r="R54" i="23"/>
  <c r="P132" i="23"/>
  <c r="O396" i="23"/>
  <c r="F79" i="23" l="1"/>
  <c r="C51" i="25"/>
  <c r="P144" i="23" l="1"/>
  <c r="O54" i="25" l="1"/>
  <c r="L66" i="25"/>
  <c r="M54" i="25"/>
  <c r="K54" i="25"/>
  <c r="D66" i="25"/>
  <c r="AA66" i="25"/>
  <c r="Y66" i="25"/>
  <c r="W66" i="25"/>
  <c r="U66" i="25"/>
  <c r="P66" i="25"/>
  <c r="N66" i="25"/>
  <c r="J66" i="25"/>
  <c r="H66" i="25"/>
  <c r="F66" i="25"/>
  <c r="C66" i="25" l="1"/>
  <c r="I54" i="25"/>
  <c r="G54" i="25"/>
  <c r="AD19" i="40" l="1"/>
  <c r="AB19" i="40"/>
  <c r="AA19" i="40"/>
  <c r="Z19" i="40"/>
  <c r="Y19" i="40"/>
  <c r="X19" i="40"/>
  <c r="R19" i="40"/>
  <c r="N19" i="40"/>
  <c r="M19" i="40"/>
  <c r="K19" i="40"/>
  <c r="J19" i="40"/>
  <c r="I19" i="40"/>
  <c r="G19" i="40"/>
  <c r="S18" i="40"/>
  <c r="P18" i="40"/>
  <c r="O18" i="40"/>
  <c r="L18" i="40"/>
  <c r="AE17" i="40"/>
  <c r="U17" i="40"/>
  <c r="S17" i="40"/>
  <c r="O17" i="40"/>
  <c r="C17" i="40"/>
  <c r="E17" i="40"/>
  <c r="AE16" i="40"/>
  <c r="V16" i="40"/>
  <c r="U16" i="40"/>
  <c r="S16" i="40"/>
  <c r="O16" i="40"/>
  <c r="C16" i="40"/>
  <c r="AE15" i="40"/>
  <c r="U15" i="40"/>
  <c r="E15" i="40" s="1"/>
  <c r="S15" i="40"/>
  <c r="Q15" i="40"/>
  <c r="Q19" i="40" s="1"/>
  <c r="O15" i="40"/>
  <c r="C15" i="40"/>
  <c r="AE14" i="40"/>
  <c r="U14" i="40"/>
  <c r="S14" i="40"/>
  <c r="O14" i="40"/>
  <c r="C14" i="40"/>
  <c r="E14" i="40"/>
  <c r="AE13" i="40"/>
  <c r="U13" i="40"/>
  <c r="S13" i="40"/>
  <c r="O13" i="40"/>
  <c r="C13" i="40"/>
  <c r="E13" i="40"/>
  <c r="AE12" i="40"/>
  <c r="V12" i="40"/>
  <c r="U12" i="40"/>
  <c r="S12" i="40"/>
  <c r="O12" i="40"/>
  <c r="C12" i="40"/>
  <c r="E12" i="40"/>
  <c r="AE11" i="40"/>
  <c r="W11" i="40"/>
  <c r="U11" i="40"/>
  <c r="S11" i="40"/>
  <c r="O11" i="40"/>
  <c r="L11" i="40"/>
  <c r="AE10" i="40"/>
  <c r="U10" i="40"/>
  <c r="E10" i="40" s="1"/>
  <c r="S10" i="40"/>
  <c r="O10" i="40"/>
  <c r="C10" i="40"/>
  <c r="V9" i="40"/>
  <c r="U9" i="40"/>
  <c r="S9" i="40"/>
  <c r="W8" i="40"/>
  <c r="V8" i="40"/>
  <c r="U8" i="40"/>
  <c r="E8" i="40" s="1"/>
  <c r="S8" i="40"/>
  <c r="P8" i="40"/>
  <c r="O8" i="40"/>
  <c r="L8" i="40"/>
  <c r="H8" i="40"/>
  <c r="H19" i="40" s="1"/>
  <c r="C11" i="40" l="1"/>
  <c r="AE19" i="40"/>
  <c r="D12" i="40"/>
  <c r="W19" i="40"/>
  <c r="C9" i="40"/>
  <c r="O19" i="40"/>
  <c r="D17" i="40"/>
  <c r="S19" i="40"/>
  <c r="C8" i="40"/>
  <c r="E16" i="40"/>
  <c r="D16" i="40"/>
  <c r="C18" i="40"/>
  <c r="D9" i="40"/>
  <c r="E11" i="40"/>
  <c r="D11" i="40"/>
  <c r="D14" i="40"/>
  <c r="E9" i="40"/>
  <c r="V19" i="40"/>
  <c r="L19" i="40"/>
  <c r="D13" i="40"/>
  <c r="D15" i="40"/>
  <c r="P19" i="40"/>
  <c r="D10" i="40"/>
  <c r="U19" i="40"/>
  <c r="E19" i="40" s="1"/>
  <c r="D18" i="40"/>
  <c r="E18" i="40"/>
  <c r="F19" i="40"/>
  <c r="T19" i="40"/>
  <c r="D8" i="40"/>
  <c r="C19" i="40" l="1"/>
  <c r="D19" i="40"/>
  <c r="M398" i="23"/>
  <c r="J398" i="23"/>
  <c r="AA52" i="25"/>
  <c r="Y52" i="25"/>
  <c r="W52" i="25"/>
  <c r="U52" i="25"/>
  <c r="R52" i="25"/>
  <c r="P52" i="25"/>
  <c r="N52" i="25"/>
  <c r="L52" i="25"/>
  <c r="J52" i="25"/>
  <c r="H52" i="25"/>
  <c r="F52" i="25"/>
  <c r="D52" i="25"/>
  <c r="C52" i="25" l="1"/>
  <c r="H398" i="23"/>
  <c r="G398" i="23" s="1"/>
  <c r="E398" i="23" s="1"/>
  <c r="F398" i="23" s="1"/>
  <c r="AB59" i="25" l="1"/>
  <c r="AA59" i="25" s="1"/>
  <c r="Z59" i="25"/>
  <c r="Y59" i="25" s="1"/>
  <c r="X59" i="25"/>
  <c r="W59" i="25" s="1"/>
  <c r="V59" i="25"/>
  <c r="U59" i="25" s="1"/>
  <c r="S59" i="25"/>
  <c r="R59" i="25" s="1"/>
  <c r="Q59" i="25"/>
  <c r="P59" i="25" s="1"/>
  <c r="N59" i="25"/>
  <c r="L59" i="25"/>
  <c r="J59" i="25"/>
  <c r="I59" i="25"/>
  <c r="H59" i="25" s="1"/>
  <c r="F59" i="25"/>
  <c r="AA58" i="25"/>
  <c r="Y58" i="25"/>
  <c r="W58" i="25"/>
  <c r="U58" i="25"/>
  <c r="R58" i="25"/>
  <c r="P58" i="25"/>
  <c r="N58" i="25"/>
  <c r="L58" i="25"/>
  <c r="J58" i="25"/>
  <c r="H58" i="25"/>
  <c r="F58" i="25"/>
  <c r="D58" i="25"/>
  <c r="AA57" i="25"/>
  <c r="Y57" i="25"/>
  <c r="W57" i="25"/>
  <c r="U57" i="25"/>
  <c r="R57" i="25"/>
  <c r="P57" i="25"/>
  <c r="N57" i="25"/>
  <c r="L57" i="25"/>
  <c r="J57" i="25"/>
  <c r="H57" i="25"/>
  <c r="F57" i="25"/>
  <c r="D57" i="25"/>
  <c r="AA56" i="25"/>
  <c r="Y56" i="25"/>
  <c r="W56" i="25"/>
  <c r="U56" i="25"/>
  <c r="S56" i="25"/>
  <c r="R56" i="25" s="1"/>
  <c r="P56" i="25"/>
  <c r="N56" i="25"/>
  <c r="L56" i="25"/>
  <c r="J56" i="25"/>
  <c r="H56" i="25"/>
  <c r="F56" i="25"/>
  <c r="AA55" i="25"/>
  <c r="Y55" i="25"/>
  <c r="W55" i="25"/>
  <c r="U55" i="25"/>
  <c r="R55" i="25"/>
  <c r="P55" i="25"/>
  <c r="N55" i="25"/>
  <c r="L55" i="25"/>
  <c r="J55" i="25"/>
  <c r="H55" i="25"/>
  <c r="F55" i="25"/>
  <c r="D55" i="25"/>
  <c r="AA54" i="25"/>
  <c r="Y54" i="25"/>
  <c r="W54" i="25"/>
  <c r="V54" i="25"/>
  <c r="U54" i="25" s="1"/>
  <c r="R54" i="25"/>
  <c r="P54" i="25"/>
  <c r="N54" i="25"/>
  <c r="L54" i="25"/>
  <c r="J54" i="25"/>
  <c r="H54" i="25"/>
  <c r="F54" i="25"/>
  <c r="AA53" i="25"/>
  <c r="Y53" i="25"/>
  <c r="W53" i="25"/>
  <c r="U53" i="25"/>
  <c r="R53" i="25"/>
  <c r="P53" i="25"/>
  <c r="N53" i="25"/>
  <c r="L53" i="25"/>
  <c r="J53" i="25"/>
  <c r="H53" i="25"/>
  <c r="F53" i="25"/>
  <c r="D53" i="25"/>
  <c r="AA50" i="25"/>
  <c r="Z50" i="25"/>
  <c r="Y50" i="25" s="1"/>
  <c r="X50" i="25"/>
  <c r="W50" i="25" s="1"/>
  <c r="U50" i="25"/>
  <c r="R50" i="25"/>
  <c r="P50" i="25"/>
  <c r="N50" i="25"/>
  <c r="L50" i="25"/>
  <c r="J50" i="25"/>
  <c r="H50" i="25"/>
  <c r="F50" i="25"/>
  <c r="AA49" i="25"/>
  <c r="Y49" i="25"/>
  <c r="W49" i="25"/>
  <c r="U49" i="25"/>
  <c r="R49" i="25"/>
  <c r="P49" i="25"/>
  <c r="N49" i="25"/>
  <c r="L49" i="25"/>
  <c r="J49" i="25"/>
  <c r="H49" i="25"/>
  <c r="F49" i="25"/>
  <c r="D49" i="25"/>
  <c r="AA48" i="25"/>
  <c r="Y48" i="25"/>
  <c r="W48" i="25"/>
  <c r="U48" i="25"/>
  <c r="R48" i="25"/>
  <c r="P48" i="25"/>
  <c r="N48" i="25"/>
  <c r="L48" i="25"/>
  <c r="J48" i="25"/>
  <c r="H48" i="25"/>
  <c r="F48" i="25"/>
  <c r="D48" i="25"/>
  <c r="AA43" i="25"/>
  <c r="Y43" i="25"/>
  <c r="W43" i="25"/>
  <c r="U43" i="25"/>
  <c r="P43" i="25"/>
  <c r="N43" i="25"/>
  <c r="L43" i="25"/>
  <c r="J43" i="25"/>
  <c r="H43" i="25"/>
  <c r="F43" i="25"/>
  <c r="D43" i="25"/>
  <c r="AA42" i="25"/>
  <c r="Y42" i="25"/>
  <c r="W42" i="25"/>
  <c r="R42" i="25"/>
  <c r="P42" i="25"/>
  <c r="N42" i="25"/>
  <c r="L42" i="25"/>
  <c r="J42" i="25"/>
  <c r="H42" i="25"/>
  <c r="F42" i="25"/>
  <c r="D42" i="25"/>
  <c r="D54" i="25" l="1"/>
  <c r="C54" i="25" s="1"/>
  <c r="C43" i="25"/>
  <c r="C55" i="25"/>
  <c r="D50" i="25"/>
  <c r="C50" i="25" s="1"/>
  <c r="D59" i="25"/>
  <c r="C59" i="25" s="1"/>
  <c r="C58" i="25"/>
  <c r="C49" i="25"/>
  <c r="C42" i="25"/>
  <c r="C53" i="25"/>
  <c r="D56" i="25"/>
  <c r="C56" i="25" s="1"/>
  <c r="C48" i="25"/>
  <c r="C57" i="25"/>
  <c r="M182" i="23" l="1"/>
  <c r="O390" i="23" l="1"/>
  <c r="Q18" i="23" l="1"/>
  <c r="Q15" i="23" s="1"/>
  <c r="M19" i="23"/>
  <c r="H19" i="23" s="1"/>
  <c r="G19" i="23" s="1"/>
  <c r="E19" i="23" s="1"/>
  <c r="F19" i="23" s="1"/>
  <c r="M20" i="23"/>
  <c r="H20" i="23" s="1"/>
  <c r="G20" i="23" s="1"/>
  <c r="E20" i="23" s="1"/>
  <c r="F20" i="23" s="1"/>
  <c r="I28" i="6" l="1"/>
  <c r="I27" i="6" l="1"/>
  <c r="G22" i="7" l="1"/>
  <c r="H22" i="7" s="1"/>
  <c r="H18" i="7"/>
  <c r="H19" i="7"/>
  <c r="H57" i="16" l="1"/>
  <c r="H70" i="16"/>
  <c r="H74" i="16"/>
  <c r="H47" i="16"/>
  <c r="H46" i="16"/>
  <c r="H42" i="16"/>
  <c r="H41" i="16"/>
  <c r="H38" i="16"/>
  <c r="H23" i="16"/>
  <c r="H20" i="16"/>
  <c r="H19" i="16"/>
  <c r="H48" i="16"/>
  <c r="H11" i="16"/>
  <c r="W25" i="17"/>
  <c r="W31" i="17"/>
  <c r="W29" i="17"/>
  <c r="W18" i="17"/>
  <c r="W14" i="17"/>
  <c r="T13" i="17"/>
  <c r="T15" i="17"/>
  <c r="R15" i="17"/>
  <c r="R13" i="17"/>
  <c r="R10" i="17"/>
  <c r="H72" i="16"/>
  <c r="E24" i="16"/>
  <c r="H24" i="16"/>
  <c r="C24" i="16"/>
  <c r="T61" i="25" l="1"/>
  <c r="I61" i="25"/>
  <c r="AB61" i="25"/>
  <c r="Z61" i="25"/>
  <c r="X61" i="25"/>
  <c r="V61" i="25"/>
  <c r="S61" i="25"/>
  <c r="Q61" i="25"/>
  <c r="O61" i="25"/>
  <c r="M61" i="25"/>
  <c r="K61" i="25"/>
  <c r="G61" i="25"/>
  <c r="M186" i="23" l="1"/>
  <c r="G32" i="25"/>
  <c r="I32" i="25"/>
  <c r="K32" i="25"/>
  <c r="M32" i="25"/>
  <c r="O32" i="25"/>
  <c r="Q32" i="25"/>
  <c r="S32" i="25"/>
  <c r="T32" i="25"/>
  <c r="V32" i="25"/>
  <c r="X32" i="25"/>
  <c r="Z32" i="25"/>
  <c r="AB32" i="25"/>
  <c r="AA35" i="25"/>
  <c r="Y35" i="25"/>
  <c r="W35" i="25"/>
  <c r="U35" i="25"/>
  <c r="P35" i="25"/>
  <c r="N35" i="25"/>
  <c r="L35" i="25"/>
  <c r="J35" i="25"/>
  <c r="H35" i="25"/>
  <c r="F35" i="25"/>
  <c r="D35" i="25"/>
  <c r="N357" i="23"/>
  <c r="N340" i="23"/>
  <c r="N327" i="23"/>
  <c r="N280" i="23"/>
  <c r="N134" i="23"/>
  <c r="N124" i="23"/>
  <c r="N91" i="23"/>
  <c r="N56" i="23"/>
  <c r="N54" i="23" s="1"/>
  <c r="C35" i="25" l="1"/>
  <c r="R38" i="23"/>
  <c r="C82" i="23"/>
  <c r="I82" i="23"/>
  <c r="K82" i="23"/>
  <c r="L82" i="23"/>
  <c r="N82" i="23"/>
  <c r="O82" i="23"/>
  <c r="P82" i="23"/>
  <c r="Q82" i="23"/>
  <c r="R82" i="23"/>
  <c r="M84" i="23"/>
  <c r="J84" i="23"/>
  <c r="M83" i="23"/>
  <c r="J83" i="23"/>
  <c r="N381" i="23"/>
  <c r="N373" i="23"/>
  <c r="N366" i="23"/>
  <c r="N349" i="23"/>
  <c r="N317" i="23"/>
  <c r="N315" i="23" s="1"/>
  <c r="N307" i="23"/>
  <c r="N296" i="23"/>
  <c r="N288" i="23"/>
  <c r="N254" i="23"/>
  <c r="N247" i="23"/>
  <c r="N236" i="23"/>
  <c r="H84" i="23" l="1"/>
  <c r="G84" i="23" s="1"/>
  <c r="E84" i="23" s="1"/>
  <c r="F84" i="23" s="1"/>
  <c r="R33" i="23"/>
  <c r="R29" i="23" s="1"/>
  <c r="R28" i="23" s="1"/>
  <c r="H83" i="23"/>
  <c r="G83" i="23" s="1"/>
  <c r="M82" i="23"/>
  <c r="J82" i="23"/>
  <c r="N218" i="23"/>
  <c r="N48" i="23"/>
  <c r="G82" i="23" l="1"/>
  <c r="H82" i="23"/>
  <c r="E83" i="23"/>
  <c r="E82" i="23" l="1"/>
  <c r="F82" i="23" s="1"/>
  <c r="F83" i="23"/>
  <c r="H54" i="7"/>
  <c r="G14" i="29"/>
  <c r="G41" i="29"/>
  <c r="D41" i="29"/>
  <c r="C41" i="29"/>
  <c r="D40" i="29"/>
  <c r="G31" i="29"/>
  <c r="D31" i="29"/>
  <c r="D29" i="29"/>
  <c r="G17" i="29"/>
  <c r="D17" i="29"/>
  <c r="C17" i="29"/>
  <c r="D14" i="29"/>
  <c r="D12" i="29" s="1"/>
  <c r="D10" i="29" s="1"/>
  <c r="C14" i="29"/>
  <c r="H26" i="6"/>
  <c r="G9" i="7"/>
  <c r="G52" i="7"/>
  <c r="M416" i="23"/>
  <c r="M312" i="23"/>
  <c r="M311" i="23"/>
  <c r="I164" i="23"/>
  <c r="N164" i="23"/>
  <c r="O164" i="23"/>
  <c r="P164" i="23"/>
  <c r="Q164" i="23"/>
  <c r="R164" i="23"/>
  <c r="AA74" i="25"/>
  <c r="Y74" i="25"/>
  <c r="W74" i="25"/>
  <c r="U74" i="25"/>
  <c r="P74" i="25"/>
  <c r="N74" i="25"/>
  <c r="L74" i="25"/>
  <c r="J74" i="25"/>
  <c r="H74" i="25"/>
  <c r="F74" i="25"/>
  <c r="D74" i="25"/>
  <c r="Z72" i="25"/>
  <c r="W73" i="25"/>
  <c r="U73" i="25"/>
  <c r="R73" i="25"/>
  <c r="P73" i="25"/>
  <c r="L73" i="25"/>
  <c r="J73" i="25"/>
  <c r="F73" i="25"/>
  <c r="V72" i="25"/>
  <c r="T72" i="25"/>
  <c r="K72" i="25"/>
  <c r="AA71" i="25"/>
  <c r="Y71" i="25"/>
  <c r="W71" i="25"/>
  <c r="U71" i="25"/>
  <c r="P71" i="25"/>
  <c r="N71" i="25"/>
  <c r="L71" i="25"/>
  <c r="J71" i="25"/>
  <c r="H71" i="25"/>
  <c r="F71" i="25"/>
  <c r="D71" i="25"/>
  <c r="AA70" i="25"/>
  <c r="Y70" i="25"/>
  <c r="W70" i="25"/>
  <c r="U70" i="25"/>
  <c r="P70" i="25"/>
  <c r="N70" i="25"/>
  <c r="L70" i="25"/>
  <c r="J70" i="25"/>
  <c r="H70" i="25"/>
  <c r="F70" i="25"/>
  <c r="D70" i="25"/>
  <c r="AA69" i="25"/>
  <c r="Y69" i="25"/>
  <c r="W69" i="25"/>
  <c r="U69" i="25"/>
  <c r="P69" i="25"/>
  <c r="N69" i="25"/>
  <c r="L69" i="25"/>
  <c r="J69" i="25"/>
  <c r="H69" i="25"/>
  <c r="F69" i="25"/>
  <c r="D69" i="25"/>
  <c r="Y68" i="25"/>
  <c r="U68" i="25"/>
  <c r="P68" i="25"/>
  <c r="L68" i="25"/>
  <c r="H68" i="25"/>
  <c r="D68" i="25"/>
  <c r="AA67" i="25"/>
  <c r="Y67" i="25"/>
  <c r="W67" i="25"/>
  <c r="U67" i="25"/>
  <c r="P67" i="25"/>
  <c r="L67" i="25"/>
  <c r="J67" i="25"/>
  <c r="H67" i="25"/>
  <c r="T65" i="25"/>
  <c r="T60" i="25" s="1"/>
  <c r="Q65" i="25"/>
  <c r="AA64" i="25"/>
  <c r="Y64" i="25"/>
  <c r="W64" i="25"/>
  <c r="U64" i="25"/>
  <c r="R64" i="25"/>
  <c r="P64" i="25"/>
  <c r="N64" i="25"/>
  <c r="L64" i="25"/>
  <c r="J64" i="25"/>
  <c r="H64" i="25"/>
  <c r="F64" i="25"/>
  <c r="D64" i="25"/>
  <c r="AA63" i="25"/>
  <c r="Y63" i="25"/>
  <c r="W63" i="25"/>
  <c r="U63" i="25"/>
  <c r="R63" i="25"/>
  <c r="P63" i="25"/>
  <c r="N63" i="25"/>
  <c r="L63" i="25"/>
  <c r="J63" i="25"/>
  <c r="H63" i="25"/>
  <c r="F63" i="25"/>
  <c r="D63" i="25"/>
  <c r="AA62" i="25"/>
  <c r="Y62" i="25"/>
  <c r="W62" i="25"/>
  <c r="U62" i="25"/>
  <c r="R62" i="25"/>
  <c r="P62" i="25"/>
  <c r="N62" i="25"/>
  <c r="L62" i="25"/>
  <c r="J62" i="25"/>
  <c r="H62" i="25"/>
  <c r="F62" i="25"/>
  <c r="D62" i="25"/>
  <c r="AB46" i="25"/>
  <c r="Z46" i="25"/>
  <c r="X46" i="25"/>
  <c r="V46" i="25"/>
  <c r="S46" i="25"/>
  <c r="R46" i="25" s="1"/>
  <c r="Q46" i="25"/>
  <c r="O46" i="25"/>
  <c r="M46" i="25"/>
  <c r="K46" i="25"/>
  <c r="I46" i="25"/>
  <c r="F46" i="25"/>
  <c r="AA44" i="25"/>
  <c r="Y44" i="25"/>
  <c r="W44" i="25"/>
  <c r="U44" i="25"/>
  <c r="P44" i="25"/>
  <c r="N44" i="25"/>
  <c r="L44" i="25"/>
  <c r="J44" i="25"/>
  <c r="H44" i="25"/>
  <c r="F44" i="25"/>
  <c r="D44" i="25"/>
  <c r="AA40" i="25"/>
  <c r="Y40" i="25"/>
  <c r="W40" i="25"/>
  <c r="U40" i="25"/>
  <c r="P40" i="25"/>
  <c r="N40" i="25"/>
  <c r="L40" i="25"/>
  <c r="J40" i="25"/>
  <c r="F40" i="25"/>
  <c r="AA39" i="25"/>
  <c r="Y39" i="25"/>
  <c r="W39" i="25"/>
  <c r="U39" i="25"/>
  <c r="P39" i="25"/>
  <c r="N39" i="25"/>
  <c r="L39" i="25"/>
  <c r="J39" i="25"/>
  <c r="H39" i="25"/>
  <c r="F39" i="25"/>
  <c r="D39" i="25"/>
  <c r="AA38" i="25"/>
  <c r="Y38" i="25"/>
  <c r="W38" i="25"/>
  <c r="U38" i="25"/>
  <c r="P38" i="25"/>
  <c r="N38" i="25"/>
  <c r="L38" i="25"/>
  <c r="J38" i="25"/>
  <c r="H38" i="25"/>
  <c r="F38" i="25"/>
  <c r="D38" i="25"/>
  <c r="T37" i="25"/>
  <c r="AA36" i="25"/>
  <c r="Y36" i="25"/>
  <c r="W36" i="25"/>
  <c r="U36" i="25"/>
  <c r="P36" i="25"/>
  <c r="N36" i="25"/>
  <c r="L36" i="25"/>
  <c r="J36" i="25"/>
  <c r="H36" i="25"/>
  <c r="F36" i="25"/>
  <c r="D36" i="25"/>
  <c r="AA33" i="25"/>
  <c r="Y33" i="25"/>
  <c r="W33" i="25"/>
  <c r="R33" i="25"/>
  <c r="P33" i="25"/>
  <c r="N33" i="25"/>
  <c r="L33" i="25"/>
  <c r="J33" i="25"/>
  <c r="H33" i="25"/>
  <c r="F33" i="25"/>
  <c r="AA31" i="25"/>
  <c r="Y31" i="25"/>
  <c r="W31" i="25"/>
  <c r="U31" i="25"/>
  <c r="R31" i="25"/>
  <c r="P31" i="25"/>
  <c r="N31" i="25"/>
  <c r="L31" i="25"/>
  <c r="J31" i="25"/>
  <c r="H31" i="25"/>
  <c r="F31" i="25"/>
  <c r="D31" i="25"/>
  <c r="AA30" i="25"/>
  <c r="Y30" i="25"/>
  <c r="W30" i="25"/>
  <c r="U30" i="25"/>
  <c r="R30" i="25"/>
  <c r="P30" i="25"/>
  <c r="N30" i="25"/>
  <c r="L30" i="25"/>
  <c r="J30" i="25"/>
  <c r="H30" i="25"/>
  <c r="F30" i="25"/>
  <c r="D30" i="25"/>
  <c r="AB29" i="25"/>
  <c r="Z29" i="25"/>
  <c r="X29" i="25"/>
  <c r="V29" i="25"/>
  <c r="T29" i="25"/>
  <c r="S29" i="25"/>
  <c r="Q29" i="25"/>
  <c r="O29" i="25"/>
  <c r="M29" i="25"/>
  <c r="K29" i="25"/>
  <c r="I29" i="25"/>
  <c r="G29" i="25"/>
  <c r="AA28" i="25"/>
  <c r="Y28" i="25"/>
  <c r="W28" i="25"/>
  <c r="U28" i="25"/>
  <c r="R28" i="25"/>
  <c r="P28" i="25"/>
  <c r="N28" i="25"/>
  <c r="L28" i="25"/>
  <c r="J28" i="25"/>
  <c r="H28" i="25"/>
  <c r="F28" i="25"/>
  <c r="D28" i="25"/>
  <c r="AA27" i="25"/>
  <c r="Y27" i="25"/>
  <c r="W27" i="25"/>
  <c r="U27" i="25"/>
  <c r="R27" i="25"/>
  <c r="P27" i="25"/>
  <c r="N27" i="25"/>
  <c r="L27" i="25"/>
  <c r="J27" i="25"/>
  <c r="H27" i="25"/>
  <c r="F27" i="25"/>
  <c r="D27" i="25"/>
  <c r="AA26" i="25"/>
  <c r="Y26" i="25"/>
  <c r="W26" i="25"/>
  <c r="U26" i="25"/>
  <c r="R26" i="25"/>
  <c r="P26" i="25"/>
  <c r="N26" i="25"/>
  <c r="L26" i="25"/>
  <c r="J26" i="25"/>
  <c r="H26" i="25"/>
  <c r="F26" i="25"/>
  <c r="D26" i="25"/>
  <c r="AA25" i="25"/>
  <c r="Y25" i="25"/>
  <c r="W25" i="25"/>
  <c r="U25" i="25"/>
  <c r="R25" i="25"/>
  <c r="P25" i="25"/>
  <c r="N25" i="25"/>
  <c r="L25" i="25"/>
  <c r="J25" i="25"/>
  <c r="H25" i="25"/>
  <c r="F25" i="25"/>
  <c r="D25" i="25"/>
  <c r="AA24" i="25"/>
  <c r="Y24" i="25"/>
  <c r="W24" i="25"/>
  <c r="U24" i="25"/>
  <c r="R24" i="25"/>
  <c r="P24" i="25"/>
  <c r="N24" i="25"/>
  <c r="L24" i="25"/>
  <c r="J24" i="25"/>
  <c r="H24" i="25"/>
  <c r="F24" i="25"/>
  <c r="D24" i="25"/>
  <c r="AA23" i="25"/>
  <c r="Y23" i="25"/>
  <c r="W23" i="25"/>
  <c r="U23" i="25"/>
  <c r="R23" i="25"/>
  <c r="N23" i="25"/>
  <c r="L23" i="25"/>
  <c r="J23" i="25"/>
  <c r="H23" i="25"/>
  <c r="F23" i="25"/>
  <c r="AA22" i="25"/>
  <c r="F20" i="25"/>
  <c r="F19" i="25" s="1"/>
  <c r="AA20" i="25"/>
  <c r="Y20" i="25"/>
  <c r="W20" i="25"/>
  <c r="U20" i="25"/>
  <c r="R20" i="25"/>
  <c r="P20" i="25"/>
  <c r="N20" i="25"/>
  <c r="L20" i="25"/>
  <c r="J20" i="25"/>
  <c r="H20" i="25"/>
  <c r="D20" i="25"/>
  <c r="X19" i="25"/>
  <c r="X15" i="25" s="1"/>
  <c r="V19" i="25"/>
  <c r="T19" i="25"/>
  <c r="T15" i="25" s="1"/>
  <c r="M19" i="25"/>
  <c r="AA18" i="25"/>
  <c r="Y18" i="25"/>
  <c r="W18" i="25"/>
  <c r="U18" i="25"/>
  <c r="R18" i="25"/>
  <c r="P18" i="25"/>
  <c r="N18" i="25"/>
  <c r="L18" i="25"/>
  <c r="J18" i="25"/>
  <c r="H18" i="25"/>
  <c r="F18" i="25"/>
  <c r="AA17" i="25"/>
  <c r="Y17" i="25"/>
  <c r="W17" i="25"/>
  <c r="U17" i="25"/>
  <c r="P17" i="25"/>
  <c r="N17" i="25"/>
  <c r="L17" i="25"/>
  <c r="J17" i="25"/>
  <c r="H17" i="25"/>
  <c r="D17" i="25"/>
  <c r="AB16" i="25"/>
  <c r="Z16" i="25"/>
  <c r="W16" i="25"/>
  <c r="V16" i="25"/>
  <c r="S16" i="25"/>
  <c r="S15" i="25" s="1"/>
  <c r="Q16" i="25"/>
  <c r="O16" i="25"/>
  <c r="M16" i="25"/>
  <c r="K16" i="25"/>
  <c r="H16" i="25"/>
  <c r="G16" i="25"/>
  <c r="AA14" i="25"/>
  <c r="AA13" i="25" s="1"/>
  <c r="Y14" i="25"/>
  <c r="Y13" i="25" s="1"/>
  <c r="W14" i="25"/>
  <c r="W13" i="25" s="1"/>
  <c r="U14" i="25"/>
  <c r="U13" i="25" s="1"/>
  <c r="R14" i="25"/>
  <c r="R13" i="25" s="1"/>
  <c r="P14" i="25"/>
  <c r="P13" i="25" s="1"/>
  <c r="N14" i="25"/>
  <c r="N13" i="25" s="1"/>
  <c r="L14" i="25"/>
  <c r="L13" i="25" s="1"/>
  <c r="J14" i="25"/>
  <c r="J13" i="25" s="1"/>
  <c r="H14" i="25"/>
  <c r="H13" i="25" s="1"/>
  <c r="F14" i="25"/>
  <c r="F13" i="25" s="1"/>
  <c r="E13" i="25"/>
  <c r="D14" i="25"/>
  <c r="D13" i="25" s="1"/>
  <c r="AB13" i="25"/>
  <c r="Z13" i="25"/>
  <c r="X13" i="25"/>
  <c r="V13" i="25"/>
  <c r="T13" i="25"/>
  <c r="S13" i="25"/>
  <c r="Q13" i="25"/>
  <c r="O13" i="25"/>
  <c r="M13" i="25"/>
  <c r="K13" i="25"/>
  <c r="I13" i="25"/>
  <c r="G13" i="25"/>
  <c r="V10" i="25"/>
  <c r="V9" i="25" s="1"/>
  <c r="S9" i="25"/>
  <c r="O9" i="25"/>
  <c r="J10" i="25"/>
  <c r="J9" i="25" s="1"/>
  <c r="I10" i="25"/>
  <c r="H10" i="25" s="1"/>
  <c r="H9" i="25" s="1"/>
  <c r="F10" i="25"/>
  <c r="F9" i="25" s="1"/>
  <c r="E9" i="25"/>
  <c r="T9" i="25"/>
  <c r="G9" i="25"/>
  <c r="R10" i="25"/>
  <c r="R9" i="25" s="1"/>
  <c r="W10" i="25"/>
  <c r="W9" i="25" s="1"/>
  <c r="X9" i="25"/>
  <c r="AA10" i="25"/>
  <c r="AA9" i="25" s="1"/>
  <c r="AB9" i="25"/>
  <c r="L10" i="25"/>
  <c r="L9" i="25" s="1"/>
  <c r="M9" i="25"/>
  <c r="P10" i="25"/>
  <c r="P9" i="25" s="1"/>
  <c r="Q9" i="25"/>
  <c r="Y10" i="25"/>
  <c r="Y9" i="25" s="1"/>
  <c r="N10" i="25"/>
  <c r="N9" i="25" s="1"/>
  <c r="U33" i="25"/>
  <c r="C18" i="16"/>
  <c r="C47" i="16"/>
  <c r="M320" i="23"/>
  <c r="M271" i="23"/>
  <c r="O371" i="23"/>
  <c r="J195" i="23"/>
  <c r="I437" i="23"/>
  <c r="J428" i="23"/>
  <c r="E428" i="23"/>
  <c r="F428" i="23" s="1"/>
  <c r="J427" i="23"/>
  <c r="E427" i="23"/>
  <c r="F427" i="23" s="1"/>
  <c r="M426" i="23"/>
  <c r="J426" i="23"/>
  <c r="M425" i="23"/>
  <c r="J425" i="23"/>
  <c r="R424" i="23"/>
  <c r="R423" i="23" s="1"/>
  <c r="Q424" i="23"/>
  <c r="Q423" i="23" s="1"/>
  <c r="P424" i="23"/>
  <c r="P423" i="23" s="1"/>
  <c r="O424" i="23"/>
  <c r="O423" i="23" s="1"/>
  <c r="N424" i="23"/>
  <c r="N423" i="23" s="1"/>
  <c r="K424" i="23"/>
  <c r="K423" i="23" s="1"/>
  <c r="I424" i="23"/>
  <c r="I423" i="23" s="1"/>
  <c r="C424" i="23"/>
  <c r="C423" i="23" s="1"/>
  <c r="M422" i="23"/>
  <c r="J422" i="23"/>
  <c r="M421" i="23"/>
  <c r="J421" i="23"/>
  <c r="R420" i="23"/>
  <c r="Q420" i="23"/>
  <c r="P420" i="23"/>
  <c r="O420" i="23"/>
  <c r="N420" i="23"/>
  <c r="N419" i="23" s="1"/>
  <c r="K420" i="23"/>
  <c r="I420" i="23"/>
  <c r="C420" i="23"/>
  <c r="J418" i="23"/>
  <c r="J417" i="23"/>
  <c r="J415" i="23" s="1"/>
  <c r="M414" i="23"/>
  <c r="J414" i="23"/>
  <c r="J413" i="23"/>
  <c r="M412" i="23"/>
  <c r="J412" i="23"/>
  <c r="M411" i="23"/>
  <c r="J411" i="23"/>
  <c r="M410" i="23"/>
  <c r="J410" i="23"/>
  <c r="M409" i="23"/>
  <c r="J409" i="23"/>
  <c r="M408" i="23"/>
  <c r="J408" i="23"/>
  <c r="M407" i="23"/>
  <c r="J407" i="23"/>
  <c r="M406" i="23"/>
  <c r="J406" i="23"/>
  <c r="M405" i="23"/>
  <c r="J405" i="23"/>
  <c r="M404" i="23"/>
  <c r="J404" i="23"/>
  <c r="M403" i="23"/>
  <c r="J403" i="23"/>
  <c r="M402" i="23"/>
  <c r="J402" i="23"/>
  <c r="R401" i="23"/>
  <c r="Q401" i="23"/>
  <c r="P401" i="23"/>
  <c r="O401" i="23"/>
  <c r="N401" i="23"/>
  <c r="K401" i="23"/>
  <c r="J401" i="23" s="1"/>
  <c r="I401" i="23"/>
  <c r="C401" i="23"/>
  <c r="R400" i="23"/>
  <c r="Q400" i="23"/>
  <c r="P400" i="23"/>
  <c r="N400" i="23"/>
  <c r="K400" i="23"/>
  <c r="I400" i="23"/>
  <c r="M399" i="23"/>
  <c r="J399" i="23"/>
  <c r="M397" i="23"/>
  <c r="J397" i="23"/>
  <c r="R396" i="23"/>
  <c r="Q396" i="23"/>
  <c r="P396" i="23"/>
  <c r="N396" i="23"/>
  <c r="K396" i="23"/>
  <c r="I396" i="23"/>
  <c r="C396" i="23"/>
  <c r="M394" i="23"/>
  <c r="J394" i="23"/>
  <c r="M393" i="23"/>
  <c r="J393" i="23"/>
  <c r="M392" i="23"/>
  <c r="J392" i="23"/>
  <c r="M391" i="23"/>
  <c r="J391" i="23"/>
  <c r="R390" i="23"/>
  <c r="Q390" i="23"/>
  <c r="P390" i="23"/>
  <c r="N390" i="23"/>
  <c r="K390" i="23"/>
  <c r="I390" i="23"/>
  <c r="M388" i="23"/>
  <c r="J388" i="23"/>
  <c r="M387" i="23"/>
  <c r="J387" i="23"/>
  <c r="M386" i="23"/>
  <c r="H386" i="23" s="1"/>
  <c r="G386" i="23" s="1"/>
  <c r="E386" i="23" s="1"/>
  <c r="F386" i="23" s="1"/>
  <c r="M385" i="23"/>
  <c r="H385" i="23" s="1"/>
  <c r="G385" i="23" s="1"/>
  <c r="E385" i="23" s="1"/>
  <c r="F385" i="23" s="1"/>
  <c r="M384" i="23"/>
  <c r="J384" i="23"/>
  <c r="M383" i="23"/>
  <c r="J383" i="23"/>
  <c r="M382" i="23"/>
  <c r="J381" i="23"/>
  <c r="M380" i="23"/>
  <c r="J380" i="23"/>
  <c r="R379" i="23"/>
  <c r="Q379" i="23"/>
  <c r="P379" i="23"/>
  <c r="O379" i="23"/>
  <c r="I379" i="23"/>
  <c r="C379" i="23"/>
  <c r="M378" i="23"/>
  <c r="H378" i="23" s="1"/>
  <c r="G378" i="23" s="1"/>
  <c r="E378" i="23" s="1"/>
  <c r="F378" i="23" s="1"/>
  <c r="M377" i="23"/>
  <c r="H377" i="23" s="1"/>
  <c r="G377" i="23" s="1"/>
  <c r="E377" i="23" s="1"/>
  <c r="F377" i="23" s="1"/>
  <c r="M376" i="23"/>
  <c r="J376" i="23"/>
  <c r="M375" i="23"/>
  <c r="J375" i="23"/>
  <c r="M374" i="23"/>
  <c r="J373" i="23"/>
  <c r="M372" i="23"/>
  <c r="J372" i="23"/>
  <c r="R371" i="23"/>
  <c r="Q371" i="23"/>
  <c r="P371" i="23"/>
  <c r="I371" i="23"/>
  <c r="C371" i="23"/>
  <c r="M370" i="23"/>
  <c r="J370" i="23"/>
  <c r="M369" i="23"/>
  <c r="J369" i="23"/>
  <c r="M368" i="23"/>
  <c r="J368" i="23"/>
  <c r="M367" i="23"/>
  <c r="H367" i="23" s="1"/>
  <c r="G367" i="23" s="1"/>
  <c r="E367" i="23" s="1"/>
  <c r="F367" i="23" s="1"/>
  <c r="J366" i="23"/>
  <c r="M365" i="23"/>
  <c r="J365" i="23"/>
  <c r="R364" i="23"/>
  <c r="Q364" i="23"/>
  <c r="P364" i="23"/>
  <c r="O364" i="23"/>
  <c r="I364" i="23"/>
  <c r="C364" i="23"/>
  <c r="M363" i="23"/>
  <c r="J363" i="23"/>
  <c r="M362" i="23"/>
  <c r="J362" i="23"/>
  <c r="M361" i="23"/>
  <c r="J361" i="23"/>
  <c r="M360" i="23"/>
  <c r="J360" i="23"/>
  <c r="M359" i="23"/>
  <c r="J359" i="23"/>
  <c r="M358" i="23"/>
  <c r="H358" i="23" s="1"/>
  <c r="J357" i="23"/>
  <c r="M356" i="23"/>
  <c r="H356" i="23" s="1"/>
  <c r="G356" i="23" s="1"/>
  <c r="E356" i="23" s="1"/>
  <c r="R355" i="23"/>
  <c r="Q355" i="23"/>
  <c r="P355" i="23"/>
  <c r="O355" i="23"/>
  <c r="I355" i="23"/>
  <c r="C355" i="23"/>
  <c r="M354" i="23"/>
  <c r="M352" i="23"/>
  <c r="J352" i="23"/>
  <c r="M351" i="23"/>
  <c r="J351" i="23"/>
  <c r="M350" i="23"/>
  <c r="H350" i="23" s="1"/>
  <c r="G350" i="23" s="1"/>
  <c r="E350" i="23" s="1"/>
  <c r="F350" i="23" s="1"/>
  <c r="J349" i="23"/>
  <c r="M348" i="23"/>
  <c r="H348" i="23" s="1"/>
  <c r="G348" i="23" s="1"/>
  <c r="E348" i="23" s="1"/>
  <c r="F348" i="23" s="1"/>
  <c r="R347" i="23"/>
  <c r="Q347" i="23"/>
  <c r="P347" i="23"/>
  <c r="O347" i="23"/>
  <c r="I347" i="23"/>
  <c r="C347" i="23"/>
  <c r="M346" i="23"/>
  <c r="J346" i="23"/>
  <c r="M345" i="23"/>
  <c r="J345" i="23"/>
  <c r="R344" i="23"/>
  <c r="Q344" i="23"/>
  <c r="P344" i="23"/>
  <c r="O344" i="23"/>
  <c r="N344" i="23"/>
  <c r="K344" i="23"/>
  <c r="I344" i="23"/>
  <c r="M342" i="23"/>
  <c r="J342" i="23"/>
  <c r="M341" i="23"/>
  <c r="H341" i="23" s="1"/>
  <c r="G341" i="23" s="1"/>
  <c r="E341" i="23" s="1"/>
  <c r="F341" i="23" s="1"/>
  <c r="M340" i="23"/>
  <c r="J340" i="23"/>
  <c r="M339" i="23"/>
  <c r="H339" i="23" s="1"/>
  <c r="G339" i="23" s="1"/>
  <c r="E339" i="23" s="1"/>
  <c r="F339" i="23" s="1"/>
  <c r="R338" i="23"/>
  <c r="Q338" i="23"/>
  <c r="P338" i="23"/>
  <c r="O338" i="23"/>
  <c r="N338" i="23"/>
  <c r="I338" i="23"/>
  <c r="C338" i="23"/>
  <c r="M335" i="23"/>
  <c r="J335" i="23"/>
  <c r="M332" i="23"/>
  <c r="J332" i="23"/>
  <c r="M331" i="23"/>
  <c r="J331" i="23"/>
  <c r="R330" i="23"/>
  <c r="Q330" i="23"/>
  <c r="P330" i="23"/>
  <c r="O330" i="23"/>
  <c r="N330" i="23"/>
  <c r="K330" i="23"/>
  <c r="I330" i="23"/>
  <c r="M329" i="23"/>
  <c r="J329" i="23"/>
  <c r="M328" i="23"/>
  <c r="H328" i="23" s="1"/>
  <c r="G328" i="23" s="1"/>
  <c r="E328" i="23" s="1"/>
  <c r="F328" i="23" s="1"/>
  <c r="M327" i="23"/>
  <c r="J327" i="23"/>
  <c r="M326" i="23"/>
  <c r="L325" i="23"/>
  <c r="L324" i="23" s="1"/>
  <c r="R325" i="23"/>
  <c r="Q325" i="23"/>
  <c r="P325" i="23"/>
  <c r="O325" i="23"/>
  <c r="I325" i="23"/>
  <c r="I324" i="23" s="1"/>
  <c r="M323" i="23"/>
  <c r="J323" i="23"/>
  <c r="J321" i="23"/>
  <c r="H321" i="23" s="1"/>
  <c r="J320" i="23"/>
  <c r="M319" i="23"/>
  <c r="J319" i="23"/>
  <c r="M318" i="23"/>
  <c r="M317" i="23"/>
  <c r="J317" i="23"/>
  <c r="M316" i="23"/>
  <c r="H316" i="23" s="1"/>
  <c r="G316" i="23" s="1"/>
  <c r="E316" i="23" s="1"/>
  <c r="F316" i="23" s="1"/>
  <c r="H314" i="23"/>
  <c r="G314" i="23" s="1"/>
  <c r="E314" i="23" s="1"/>
  <c r="F314" i="23" s="1"/>
  <c r="M313" i="23"/>
  <c r="J313" i="23"/>
  <c r="J312" i="23"/>
  <c r="J311" i="23"/>
  <c r="H311" i="23" s="1"/>
  <c r="C310" i="23"/>
  <c r="R310" i="23"/>
  <c r="Q310" i="23"/>
  <c r="P310" i="23"/>
  <c r="O310" i="23"/>
  <c r="N310" i="23"/>
  <c r="K310" i="23"/>
  <c r="I310" i="23"/>
  <c r="M309" i="23"/>
  <c r="J309" i="23"/>
  <c r="M308" i="23"/>
  <c r="H308" i="23" s="1"/>
  <c r="G308" i="23" s="1"/>
  <c r="E308" i="23" s="1"/>
  <c r="F308" i="23" s="1"/>
  <c r="N305" i="23"/>
  <c r="M307" i="23"/>
  <c r="J307" i="23"/>
  <c r="M306" i="23"/>
  <c r="H306" i="23" s="1"/>
  <c r="G306" i="23" s="1"/>
  <c r="E306" i="23" s="1"/>
  <c r="F306" i="23" s="1"/>
  <c r="L305" i="23"/>
  <c r="L304" i="23" s="1"/>
  <c r="R305" i="23"/>
  <c r="Q305" i="23"/>
  <c r="P305" i="23"/>
  <c r="O305" i="23"/>
  <c r="I305" i="23"/>
  <c r="C305" i="23"/>
  <c r="M303" i="23"/>
  <c r="J303" i="23"/>
  <c r="J302" i="23"/>
  <c r="H302" i="23" s="1"/>
  <c r="G302" i="23" s="1"/>
  <c r="E302" i="23" s="1"/>
  <c r="F302" i="23" s="1"/>
  <c r="M301" i="23"/>
  <c r="J301" i="23"/>
  <c r="M300" i="23"/>
  <c r="J300" i="23"/>
  <c r="R299" i="23"/>
  <c r="Q299" i="23"/>
  <c r="P299" i="23"/>
  <c r="O299" i="23"/>
  <c r="N299" i="23"/>
  <c r="K299" i="23"/>
  <c r="I299" i="23"/>
  <c r="C299" i="23"/>
  <c r="M298" i="23"/>
  <c r="J298" i="23"/>
  <c r="M297" i="23"/>
  <c r="H297" i="23" s="1"/>
  <c r="G297" i="23" s="1"/>
  <c r="E297" i="23" s="1"/>
  <c r="F297" i="23" s="1"/>
  <c r="N294" i="23"/>
  <c r="J296" i="23"/>
  <c r="M295" i="23"/>
  <c r="H295" i="23" s="1"/>
  <c r="G295" i="23" s="1"/>
  <c r="E295" i="23" s="1"/>
  <c r="F295" i="23" s="1"/>
  <c r="L294" i="23"/>
  <c r="L293" i="23" s="1"/>
  <c r="R294" i="23"/>
  <c r="Q294" i="23"/>
  <c r="P294" i="23"/>
  <c r="O294" i="23"/>
  <c r="I294" i="23"/>
  <c r="C294" i="23"/>
  <c r="M292" i="23"/>
  <c r="J292" i="23"/>
  <c r="M291" i="23"/>
  <c r="J291" i="23"/>
  <c r="M290" i="23"/>
  <c r="J290" i="23"/>
  <c r="M289" i="23"/>
  <c r="H289" i="23" s="1"/>
  <c r="G289" i="23" s="1"/>
  <c r="E289" i="23" s="1"/>
  <c r="F289" i="23" s="1"/>
  <c r="L286" i="23"/>
  <c r="M288" i="23"/>
  <c r="J288" i="23"/>
  <c r="M287" i="23"/>
  <c r="H287" i="23" s="1"/>
  <c r="G287" i="23" s="1"/>
  <c r="E287" i="23" s="1"/>
  <c r="F287" i="23" s="1"/>
  <c r="R286" i="23"/>
  <c r="Q286" i="23"/>
  <c r="P286" i="23"/>
  <c r="O286" i="23"/>
  <c r="N286" i="23"/>
  <c r="I286" i="23"/>
  <c r="C286" i="23"/>
  <c r="M285" i="23"/>
  <c r="J285" i="23"/>
  <c r="M284" i="23"/>
  <c r="J284" i="23"/>
  <c r="M283" i="23"/>
  <c r="J283" i="23"/>
  <c r="M282" i="23"/>
  <c r="J282" i="23"/>
  <c r="M281" i="23"/>
  <c r="J281" i="23"/>
  <c r="M280" i="23"/>
  <c r="J280" i="23"/>
  <c r="M279" i="23"/>
  <c r="H279" i="23" s="1"/>
  <c r="G279" i="23" s="1"/>
  <c r="E279" i="23" s="1"/>
  <c r="F279" i="23" s="1"/>
  <c r="R278" i="23"/>
  <c r="Q278" i="23"/>
  <c r="P278" i="23"/>
  <c r="O278" i="23"/>
  <c r="I278" i="23"/>
  <c r="C278" i="23"/>
  <c r="M277" i="23"/>
  <c r="J277" i="23"/>
  <c r="M276" i="23"/>
  <c r="H276" i="23" s="1"/>
  <c r="M275" i="23"/>
  <c r="J275" i="23"/>
  <c r="R274" i="23"/>
  <c r="Q274" i="23"/>
  <c r="P274" i="23"/>
  <c r="O274" i="23"/>
  <c r="N274" i="23"/>
  <c r="K274" i="23"/>
  <c r="I274" i="23"/>
  <c r="C274" i="23"/>
  <c r="M273" i="23"/>
  <c r="J273" i="23"/>
  <c r="M272" i="23"/>
  <c r="J272" i="23"/>
  <c r="J271" i="23"/>
  <c r="M270" i="23"/>
  <c r="J270" i="23"/>
  <c r="M269" i="23"/>
  <c r="J269" i="23"/>
  <c r="M268" i="23"/>
  <c r="J268" i="23"/>
  <c r="R267" i="23"/>
  <c r="Q267" i="23"/>
  <c r="P267" i="23"/>
  <c r="O267" i="23"/>
  <c r="N267" i="23"/>
  <c r="K267" i="23"/>
  <c r="I267" i="23"/>
  <c r="C267" i="23"/>
  <c r="M266" i="23"/>
  <c r="J266" i="23"/>
  <c r="M265" i="23"/>
  <c r="J265" i="23"/>
  <c r="M264" i="23"/>
  <c r="M263" i="23"/>
  <c r="J263" i="23"/>
  <c r="M262" i="23"/>
  <c r="H262" i="23" s="1"/>
  <c r="G262" i="23" s="1"/>
  <c r="E262" i="23" s="1"/>
  <c r="F262" i="23" s="1"/>
  <c r="M261" i="23"/>
  <c r="J261" i="23"/>
  <c r="M260" i="23"/>
  <c r="L259" i="23"/>
  <c r="L258" i="23" s="1"/>
  <c r="R259" i="23"/>
  <c r="Q259" i="23"/>
  <c r="P259" i="23"/>
  <c r="O259" i="23"/>
  <c r="N259" i="23"/>
  <c r="C259" i="23"/>
  <c r="D257" i="23"/>
  <c r="D163" i="23" s="1"/>
  <c r="D81" i="23" s="1"/>
  <c r="M255" i="23"/>
  <c r="J255" i="23"/>
  <c r="M254" i="23"/>
  <c r="J254" i="23"/>
  <c r="M253" i="23"/>
  <c r="L252" i="23"/>
  <c r="R252" i="23"/>
  <c r="Q252" i="23"/>
  <c r="P252" i="23"/>
  <c r="O252" i="23"/>
  <c r="N252" i="23"/>
  <c r="I252" i="23"/>
  <c r="C252" i="23"/>
  <c r="M251" i="23"/>
  <c r="H251" i="23" s="1"/>
  <c r="G251" i="23" s="1"/>
  <c r="E251" i="23" s="1"/>
  <c r="F251" i="23" s="1"/>
  <c r="M250" i="23"/>
  <c r="J250" i="23"/>
  <c r="M249" i="23"/>
  <c r="M248" i="23"/>
  <c r="J248" i="23"/>
  <c r="M247" i="23"/>
  <c r="J247" i="23"/>
  <c r="M246" i="23"/>
  <c r="R245" i="23"/>
  <c r="Q245" i="23"/>
  <c r="P245" i="23"/>
  <c r="O245" i="23"/>
  <c r="N245" i="23"/>
  <c r="I245" i="23"/>
  <c r="C245" i="23"/>
  <c r="M244" i="23"/>
  <c r="J244" i="23"/>
  <c r="M243" i="23"/>
  <c r="J243" i="23"/>
  <c r="M242" i="23"/>
  <c r="J242" i="23"/>
  <c r="M241" i="23"/>
  <c r="H241" i="23" s="1"/>
  <c r="G241" i="23" s="1"/>
  <c r="E241" i="23" s="1"/>
  <c r="F241" i="23" s="1"/>
  <c r="M240" i="23"/>
  <c r="H240" i="23" s="1"/>
  <c r="G240" i="23" s="1"/>
  <c r="E240" i="23" s="1"/>
  <c r="F240" i="23" s="1"/>
  <c r="M239" i="23"/>
  <c r="J239" i="23"/>
  <c r="M238" i="23"/>
  <c r="J238" i="23"/>
  <c r="M237" i="23"/>
  <c r="J236" i="23"/>
  <c r="M235" i="23"/>
  <c r="H235" i="23" s="1"/>
  <c r="G235" i="23" s="1"/>
  <c r="E235" i="23" s="1"/>
  <c r="F235" i="23" s="1"/>
  <c r="L234" i="23"/>
  <c r="R234" i="23"/>
  <c r="Q234" i="23"/>
  <c r="P234" i="23"/>
  <c r="O234" i="23"/>
  <c r="I234" i="23"/>
  <c r="C234" i="23"/>
  <c r="M233" i="23"/>
  <c r="H233" i="23" s="1"/>
  <c r="G233" i="23" s="1"/>
  <c r="E233" i="23" s="1"/>
  <c r="F233" i="23" s="1"/>
  <c r="M232" i="23"/>
  <c r="M231" i="23"/>
  <c r="M230" i="23"/>
  <c r="H230" i="23" s="1"/>
  <c r="G230" i="23" s="1"/>
  <c r="E230" i="23" s="1"/>
  <c r="F230" i="23" s="1"/>
  <c r="M229" i="23"/>
  <c r="J229" i="23"/>
  <c r="M228" i="23"/>
  <c r="H228" i="23" s="1"/>
  <c r="G228" i="23" s="1"/>
  <c r="E228" i="23" s="1"/>
  <c r="M227" i="23"/>
  <c r="M226" i="23"/>
  <c r="H226" i="23" s="1"/>
  <c r="G226" i="23" s="1"/>
  <c r="E226" i="23" s="1"/>
  <c r="F226" i="23" s="1"/>
  <c r="L225" i="23"/>
  <c r="R225" i="23"/>
  <c r="Q225" i="23"/>
  <c r="P225" i="23"/>
  <c r="O225" i="23"/>
  <c r="N225" i="23"/>
  <c r="I225" i="23"/>
  <c r="C225" i="23"/>
  <c r="M224" i="23"/>
  <c r="H224" i="23" s="1"/>
  <c r="G224" i="23" s="1"/>
  <c r="E224" i="23" s="1"/>
  <c r="F224" i="23" s="1"/>
  <c r="M223" i="23"/>
  <c r="J223" i="23"/>
  <c r="M222" i="23"/>
  <c r="J222" i="23"/>
  <c r="M221" i="23"/>
  <c r="J221" i="23"/>
  <c r="M220" i="23"/>
  <c r="J220" i="23"/>
  <c r="M219" i="23"/>
  <c r="J219" i="23"/>
  <c r="M218" i="23"/>
  <c r="J218" i="23"/>
  <c r="M217" i="23"/>
  <c r="H217" i="23" s="1"/>
  <c r="G217" i="23" s="1"/>
  <c r="E217" i="23" s="1"/>
  <c r="F217" i="23" s="1"/>
  <c r="L216" i="23"/>
  <c r="K216" i="23"/>
  <c r="R216" i="23"/>
  <c r="Q216" i="23"/>
  <c r="P216" i="23"/>
  <c r="O216" i="23"/>
  <c r="I216" i="23"/>
  <c r="C216" i="23"/>
  <c r="M215" i="23"/>
  <c r="J215" i="23"/>
  <c r="M213" i="23"/>
  <c r="J213" i="23"/>
  <c r="M212" i="23"/>
  <c r="J212" i="23"/>
  <c r="M211" i="23"/>
  <c r="J211" i="23"/>
  <c r="M210" i="23"/>
  <c r="J210" i="23"/>
  <c r="M209" i="23"/>
  <c r="J209" i="23"/>
  <c r="M208" i="23"/>
  <c r="J208" i="23"/>
  <c r="M207" i="23"/>
  <c r="J207" i="23"/>
  <c r="M206" i="23"/>
  <c r="J206" i="23"/>
  <c r="M205" i="23"/>
  <c r="J205" i="23"/>
  <c r="M204" i="23"/>
  <c r="J204" i="23"/>
  <c r="M203" i="23"/>
  <c r="H203" i="23" s="1"/>
  <c r="G203" i="23" s="1"/>
  <c r="E203" i="23" s="1"/>
  <c r="F203" i="23" s="1"/>
  <c r="M202" i="23"/>
  <c r="J202" i="23"/>
  <c r="M201" i="23"/>
  <c r="H201" i="23" s="1"/>
  <c r="G201" i="23" s="1"/>
  <c r="E201" i="23" s="1"/>
  <c r="F201" i="23" s="1"/>
  <c r="J200" i="23"/>
  <c r="M199" i="23"/>
  <c r="H199" i="23" s="1"/>
  <c r="G199" i="23" s="1"/>
  <c r="L198" i="23"/>
  <c r="R198" i="23"/>
  <c r="Q198" i="23"/>
  <c r="P198" i="23"/>
  <c r="O198" i="23"/>
  <c r="K198" i="23"/>
  <c r="I198" i="23"/>
  <c r="M196" i="23"/>
  <c r="J196" i="23"/>
  <c r="M195" i="23"/>
  <c r="R194" i="23"/>
  <c r="Q194" i="23"/>
  <c r="P194" i="23"/>
  <c r="N194" i="23"/>
  <c r="L194" i="23"/>
  <c r="K194" i="23"/>
  <c r="I194" i="23"/>
  <c r="C194" i="23"/>
  <c r="F191" i="23"/>
  <c r="F190" i="23"/>
  <c r="F189" i="23"/>
  <c r="F187" i="23"/>
  <c r="J186" i="23"/>
  <c r="H186" i="23" s="1"/>
  <c r="G186" i="23" s="1"/>
  <c r="E186" i="23" s="1"/>
  <c r="F186" i="23" s="1"/>
  <c r="M185" i="23"/>
  <c r="J185" i="23"/>
  <c r="M184" i="23"/>
  <c r="J184" i="23"/>
  <c r="M183" i="23"/>
  <c r="J183" i="23"/>
  <c r="J182" i="23"/>
  <c r="H182" i="23" s="1"/>
  <c r="G182" i="23" s="1"/>
  <c r="E182" i="23" s="1"/>
  <c r="F182" i="23" s="1"/>
  <c r="M180" i="23"/>
  <c r="J180" i="23"/>
  <c r="M179" i="23"/>
  <c r="J179" i="23"/>
  <c r="S178" i="23"/>
  <c r="M177" i="23"/>
  <c r="J177" i="23"/>
  <c r="M176" i="23"/>
  <c r="J176" i="23"/>
  <c r="M175" i="23"/>
  <c r="J175" i="23"/>
  <c r="M174" i="23"/>
  <c r="M173" i="23"/>
  <c r="M172" i="23"/>
  <c r="H172" i="23" s="1"/>
  <c r="G172" i="23" s="1"/>
  <c r="E172" i="23" s="1"/>
  <c r="F172" i="23" s="1"/>
  <c r="M171" i="23"/>
  <c r="M170" i="23"/>
  <c r="H170" i="23" s="1"/>
  <c r="G170" i="23" s="1"/>
  <c r="E170" i="23" s="1"/>
  <c r="F170" i="23" s="1"/>
  <c r="R169" i="23"/>
  <c r="R167" i="23" s="1"/>
  <c r="Q169" i="23"/>
  <c r="Q167" i="23" s="1"/>
  <c r="P169" i="23"/>
  <c r="P167" i="23" s="1"/>
  <c r="P166" i="23" s="1"/>
  <c r="P165" i="23" s="1"/>
  <c r="O169" i="23"/>
  <c r="O167" i="23" s="1"/>
  <c r="N169" i="23"/>
  <c r="N167" i="23" s="1"/>
  <c r="I169" i="23"/>
  <c r="I167" i="23" s="1"/>
  <c r="C169" i="23"/>
  <c r="C167" i="23" s="1"/>
  <c r="M168" i="23"/>
  <c r="M162" i="23"/>
  <c r="J162" i="23"/>
  <c r="M161" i="23"/>
  <c r="J161" i="23"/>
  <c r="M160" i="23"/>
  <c r="J160" i="23"/>
  <c r="R159" i="23"/>
  <c r="Q159" i="23"/>
  <c r="P159" i="23"/>
  <c r="O159" i="23"/>
  <c r="N159" i="23"/>
  <c r="K159" i="23"/>
  <c r="I159" i="23"/>
  <c r="C159" i="23"/>
  <c r="M158" i="23"/>
  <c r="J158" i="23"/>
  <c r="M157" i="23"/>
  <c r="J157" i="23"/>
  <c r="M156" i="23"/>
  <c r="J156" i="23"/>
  <c r="M155" i="23"/>
  <c r="J155" i="23"/>
  <c r="M154" i="23"/>
  <c r="J154" i="23"/>
  <c r="M153" i="23"/>
  <c r="J153" i="23"/>
  <c r="M152" i="23"/>
  <c r="J152" i="23"/>
  <c r="M151" i="23"/>
  <c r="J151" i="23"/>
  <c r="M150" i="23"/>
  <c r="J150" i="23"/>
  <c r="M149" i="23"/>
  <c r="J149" i="23"/>
  <c r="E148" i="23"/>
  <c r="F148" i="23" s="1"/>
  <c r="M145" i="23"/>
  <c r="J145" i="23"/>
  <c r="R144" i="23"/>
  <c r="Q144" i="23"/>
  <c r="O144" i="23"/>
  <c r="N144" i="23"/>
  <c r="L144" i="23"/>
  <c r="K144" i="23"/>
  <c r="I144" i="23"/>
  <c r="C144" i="23"/>
  <c r="M143" i="23"/>
  <c r="J143" i="23"/>
  <c r="M142" i="23"/>
  <c r="J142" i="23"/>
  <c r="R141" i="23"/>
  <c r="Q141" i="23"/>
  <c r="P141" i="23"/>
  <c r="O141" i="23"/>
  <c r="N141" i="23"/>
  <c r="K141" i="23"/>
  <c r="I141" i="23"/>
  <c r="C141" i="23"/>
  <c r="M139" i="23"/>
  <c r="J139" i="23"/>
  <c r="M138" i="23"/>
  <c r="J138" i="23"/>
  <c r="M137" i="23"/>
  <c r="J137" i="23"/>
  <c r="M136" i="23"/>
  <c r="J136" i="23"/>
  <c r="M135" i="23"/>
  <c r="J135" i="23"/>
  <c r="M134" i="23"/>
  <c r="J134" i="23"/>
  <c r="M133" i="23"/>
  <c r="H133" i="23" s="1"/>
  <c r="G133" i="23" s="1"/>
  <c r="E133" i="23" s="1"/>
  <c r="F133" i="23" s="1"/>
  <c r="L132" i="23"/>
  <c r="R132" i="23"/>
  <c r="Q132" i="23"/>
  <c r="O132" i="23"/>
  <c r="N132" i="23"/>
  <c r="I132" i="23"/>
  <c r="M131" i="23"/>
  <c r="J131" i="23"/>
  <c r="M129" i="23"/>
  <c r="J129" i="23"/>
  <c r="M128" i="23"/>
  <c r="J128" i="23"/>
  <c r="M127" i="23"/>
  <c r="J127" i="23"/>
  <c r="M126" i="23"/>
  <c r="J126" i="23"/>
  <c r="M125" i="23"/>
  <c r="M124" i="23"/>
  <c r="J124" i="23"/>
  <c r="M123" i="23"/>
  <c r="H123" i="23" s="1"/>
  <c r="G123" i="23" s="1"/>
  <c r="E123" i="23" s="1"/>
  <c r="F123" i="23" s="1"/>
  <c r="L122" i="23"/>
  <c r="Q122" i="23"/>
  <c r="P122" i="23"/>
  <c r="P121" i="23" s="1"/>
  <c r="O122" i="23"/>
  <c r="N122" i="23"/>
  <c r="I122" i="23"/>
  <c r="I121" i="23" s="1"/>
  <c r="C122" i="23"/>
  <c r="M119" i="23"/>
  <c r="J119" i="23"/>
  <c r="M118" i="23"/>
  <c r="J118" i="23"/>
  <c r="R117" i="23"/>
  <c r="Q117" i="23"/>
  <c r="P117" i="23"/>
  <c r="O117" i="23"/>
  <c r="N117" i="23"/>
  <c r="K117" i="23"/>
  <c r="I117" i="23"/>
  <c r="C117" i="23"/>
  <c r="M116" i="23"/>
  <c r="J116" i="23"/>
  <c r="M115" i="23"/>
  <c r="J115" i="23"/>
  <c r="P108" i="23"/>
  <c r="M114" i="23"/>
  <c r="J114" i="23"/>
  <c r="M113" i="23"/>
  <c r="G113" i="23"/>
  <c r="E113" i="23" s="1"/>
  <c r="F113" i="23" s="1"/>
  <c r="M112" i="23"/>
  <c r="J112" i="23"/>
  <c r="M111" i="23"/>
  <c r="J111" i="23"/>
  <c r="M110" i="23"/>
  <c r="J110" i="23"/>
  <c r="M109" i="23"/>
  <c r="J109" i="23"/>
  <c r="R108" i="23"/>
  <c r="Q108" i="23"/>
  <c r="O108" i="23"/>
  <c r="N108" i="23"/>
  <c r="L108" i="23"/>
  <c r="K108" i="23"/>
  <c r="I108" i="23"/>
  <c r="C108" i="23"/>
  <c r="M107" i="23"/>
  <c r="J107" i="23"/>
  <c r="M106" i="23"/>
  <c r="J106" i="23"/>
  <c r="M105" i="23"/>
  <c r="J105" i="23"/>
  <c r="M101" i="23"/>
  <c r="J101" i="23"/>
  <c r="J99" i="23" s="1"/>
  <c r="G98" i="23"/>
  <c r="E98" i="23" s="1"/>
  <c r="F98" i="23" s="1"/>
  <c r="M97" i="23"/>
  <c r="J97" i="23"/>
  <c r="M96" i="23"/>
  <c r="J96" i="23"/>
  <c r="M95" i="23"/>
  <c r="J95" i="23"/>
  <c r="M94" i="23"/>
  <c r="J94" i="23"/>
  <c r="M93" i="23"/>
  <c r="J93" i="23"/>
  <c r="M92" i="23"/>
  <c r="J92" i="23"/>
  <c r="J91" i="23"/>
  <c r="M90" i="23"/>
  <c r="M89" i="23"/>
  <c r="H89" i="23" s="1"/>
  <c r="G89" i="23" s="1"/>
  <c r="E89" i="23" s="1"/>
  <c r="F89" i="23" s="1"/>
  <c r="M88" i="23"/>
  <c r="H88" i="23" s="1"/>
  <c r="G88" i="23" s="1"/>
  <c r="E88" i="23" s="1"/>
  <c r="F88" i="23" s="1"/>
  <c r="R87" i="23"/>
  <c r="R86" i="23" s="1"/>
  <c r="Q87" i="23"/>
  <c r="Q86" i="23" s="1"/>
  <c r="P87" i="23"/>
  <c r="P86" i="23" s="1"/>
  <c r="O87" i="23"/>
  <c r="O86" i="23" s="1"/>
  <c r="I87" i="23"/>
  <c r="I86" i="23" s="1"/>
  <c r="D87" i="23"/>
  <c r="D86" i="23" s="1"/>
  <c r="M80" i="23"/>
  <c r="J80" i="23"/>
  <c r="M74" i="23"/>
  <c r="M73" i="23" s="1"/>
  <c r="J74" i="23"/>
  <c r="J73" i="23" s="1"/>
  <c r="R73" i="23"/>
  <c r="Q73" i="23"/>
  <c r="P73" i="23"/>
  <c r="O73" i="23"/>
  <c r="N73" i="23"/>
  <c r="K73" i="23"/>
  <c r="C73" i="23"/>
  <c r="M72" i="23"/>
  <c r="J72" i="23"/>
  <c r="M71" i="23"/>
  <c r="J71" i="23"/>
  <c r="M70" i="23"/>
  <c r="J70" i="23"/>
  <c r="M69" i="23"/>
  <c r="J69" i="23"/>
  <c r="J68" i="23"/>
  <c r="H68" i="23" s="1"/>
  <c r="G68" i="23" s="1"/>
  <c r="E68" i="23" s="1"/>
  <c r="F68" i="23" s="1"/>
  <c r="M67" i="23"/>
  <c r="H67" i="23" s="1"/>
  <c r="G67" i="23" s="1"/>
  <c r="E67" i="23" s="1"/>
  <c r="F67" i="23" s="1"/>
  <c r="R66" i="23"/>
  <c r="Q66" i="23"/>
  <c r="P66" i="23"/>
  <c r="O66" i="23"/>
  <c r="N66" i="23"/>
  <c r="L66" i="23"/>
  <c r="K66" i="23"/>
  <c r="I66" i="23"/>
  <c r="M63" i="23"/>
  <c r="J63" i="23"/>
  <c r="M62" i="23"/>
  <c r="J62" i="23"/>
  <c r="R61" i="23"/>
  <c r="Q61" i="23"/>
  <c r="P61" i="23"/>
  <c r="O61" i="23"/>
  <c r="N61" i="23"/>
  <c r="K61" i="23"/>
  <c r="I61" i="23"/>
  <c r="C61" i="23"/>
  <c r="G60" i="23"/>
  <c r="M59" i="23"/>
  <c r="M58" i="23"/>
  <c r="M57" i="23"/>
  <c r="M56" i="23"/>
  <c r="J56" i="23"/>
  <c r="M55" i="23"/>
  <c r="H53" i="23"/>
  <c r="G53" i="23" s="1"/>
  <c r="E53" i="23" s="1"/>
  <c r="F53" i="23" s="1"/>
  <c r="H52" i="23"/>
  <c r="G52" i="23" s="1"/>
  <c r="E52" i="23" s="1"/>
  <c r="F52" i="23" s="1"/>
  <c r="M51" i="23"/>
  <c r="J51" i="23"/>
  <c r="M50" i="23"/>
  <c r="J50" i="23"/>
  <c r="M49" i="23"/>
  <c r="M48" i="23"/>
  <c r="M47" i="23"/>
  <c r="M46" i="23"/>
  <c r="H46" i="23" s="1"/>
  <c r="G46" i="23" s="1"/>
  <c r="M45" i="23"/>
  <c r="H45" i="23" s="1"/>
  <c r="G45" i="23" s="1"/>
  <c r="E45" i="23" s="1"/>
  <c r="F45" i="23" s="1"/>
  <c r="L44" i="23"/>
  <c r="R44" i="23"/>
  <c r="Q44" i="23"/>
  <c r="Q43" i="23" s="1"/>
  <c r="P44" i="23"/>
  <c r="O44" i="23"/>
  <c r="O43" i="23" s="1"/>
  <c r="N44" i="23"/>
  <c r="I44" i="23"/>
  <c r="C44" i="23"/>
  <c r="M42" i="23"/>
  <c r="J42" i="23"/>
  <c r="M41" i="23"/>
  <c r="J41" i="23"/>
  <c r="M40" i="23"/>
  <c r="J40" i="23"/>
  <c r="M39" i="23"/>
  <c r="J39" i="23"/>
  <c r="C38" i="23"/>
  <c r="C33" i="23" s="1"/>
  <c r="C29" i="23" s="1"/>
  <c r="C28" i="23" s="1"/>
  <c r="Q38" i="23"/>
  <c r="O38" i="23"/>
  <c r="N38" i="23"/>
  <c r="K38" i="23"/>
  <c r="I38" i="23"/>
  <c r="D38" i="23"/>
  <c r="M37" i="23"/>
  <c r="J37" i="23"/>
  <c r="M36" i="23"/>
  <c r="J36" i="23"/>
  <c r="M35" i="23"/>
  <c r="J35" i="23"/>
  <c r="M34" i="23"/>
  <c r="J34" i="23"/>
  <c r="M30" i="23"/>
  <c r="L27" i="23"/>
  <c r="M24" i="23"/>
  <c r="J24" i="23"/>
  <c r="M23" i="23"/>
  <c r="J23" i="23"/>
  <c r="M22" i="23"/>
  <c r="J22" i="23"/>
  <c r="M21" i="23"/>
  <c r="J21" i="23"/>
  <c r="M18" i="23"/>
  <c r="J18" i="23"/>
  <c r="G17" i="23"/>
  <c r="E17" i="23" s="1"/>
  <c r="F17" i="23" s="1"/>
  <c r="G16" i="23"/>
  <c r="E16" i="23" s="1"/>
  <c r="F16" i="23" s="1"/>
  <c r="R15" i="23"/>
  <c r="R13" i="23" s="1"/>
  <c r="R11" i="23" s="1"/>
  <c r="Q13" i="23"/>
  <c r="Q11" i="23" s="1"/>
  <c r="P15" i="23"/>
  <c r="P13" i="23" s="1"/>
  <c r="P11" i="23" s="1"/>
  <c r="O15" i="23"/>
  <c r="O13" i="23" s="1"/>
  <c r="O11" i="23" s="1"/>
  <c r="N15" i="23"/>
  <c r="N13" i="23" s="1"/>
  <c r="N11" i="23" s="1"/>
  <c r="K15" i="23"/>
  <c r="K13" i="23" s="1"/>
  <c r="K11" i="23" s="1"/>
  <c r="I15" i="23"/>
  <c r="I13" i="23" s="1"/>
  <c r="I11" i="23" s="1"/>
  <c r="C15" i="23"/>
  <c r="C13" i="23" s="1"/>
  <c r="C11" i="23" s="1"/>
  <c r="M14" i="23"/>
  <c r="J14" i="23"/>
  <c r="L13" i="23"/>
  <c r="L11" i="23" s="1"/>
  <c r="M12" i="23"/>
  <c r="J12" i="23"/>
  <c r="N87" i="23"/>
  <c r="N86" i="23" s="1"/>
  <c r="M91" i="23"/>
  <c r="M357" i="23"/>
  <c r="N355" i="23"/>
  <c r="M381" i="23"/>
  <c r="N379" i="23"/>
  <c r="M373" i="23"/>
  <c r="N371" i="23"/>
  <c r="M349" i="23"/>
  <c r="N347" i="23"/>
  <c r="N198" i="23"/>
  <c r="M200" i="23"/>
  <c r="K278" i="23"/>
  <c r="L278" i="23"/>
  <c r="O400" i="23"/>
  <c r="M413" i="23"/>
  <c r="L169" i="23"/>
  <c r="M417" i="23"/>
  <c r="M366" i="23"/>
  <c r="N364" i="23"/>
  <c r="M236" i="23"/>
  <c r="N234" i="23"/>
  <c r="L355" i="23"/>
  <c r="K355" i="23"/>
  <c r="L371" i="23"/>
  <c r="O389" i="23"/>
  <c r="Q31" i="17"/>
  <c r="C31" i="17"/>
  <c r="Q30" i="17"/>
  <c r="C30" i="17"/>
  <c r="Q29" i="17"/>
  <c r="C29" i="17"/>
  <c r="W28" i="17"/>
  <c r="V28" i="17"/>
  <c r="U28" i="17"/>
  <c r="T28" i="17"/>
  <c r="S28" i="17"/>
  <c r="R28" i="17"/>
  <c r="I28" i="17"/>
  <c r="H28" i="17"/>
  <c r="G28" i="17"/>
  <c r="F28" i="17"/>
  <c r="E28" i="17"/>
  <c r="D28" i="17"/>
  <c r="Q27" i="17"/>
  <c r="C27" i="17"/>
  <c r="Q26" i="17"/>
  <c r="C26" i="17"/>
  <c r="Q25" i="17"/>
  <c r="C25" i="17"/>
  <c r="Q24" i="17"/>
  <c r="C24" i="17"/>
  <c r="Q23" i="17"/>
  <c r="C23" i="17"/>
  <c r="W22" i="17"/>
  <c r="V22" i="17"/>
  <c r="U22" i="17"/>
  <c r="T22" i="17"/>
  <c r="S22" i="17"/>
  <c r="R22" i="17"/>
  <c r="I22" i="17"/>
  <c r="H22" i="17"/>
  <c r="G22" i="17"/>
  <c r="F22" i="17"/>
  <c r="E22" i="17"/>
  <c r="D22" i="17"/>
  <c r="Q21" i="17"/>
  <c r="C21" i="17"/>
  <c r="Q20" i="17"/>
  <c r="C20" i="17"/>
  <c r="W19" i="17"/>
  <c r="V19" i="17"/>
  <c r="U19" i="17"/>
  <c r="T19" i="17"/>
  <c r="S19" i="17"/>
  <c r="R19" i="17"/>
  <c r="I19" i="17"/>
  <c r="H19" i="17"/>
  <c r="G19" i="17"/>
  <c r="F19" i="17"/>
  <c r="E19" i="17"/>
  <c r="D19" i="17"/>
  <c r="Q18" i="17"/>
  <c r="C18" i="17"/>
  <c r="Q17" i="17"/>
  <c r="C17" i="17"/>
  <c r="W16" i="17"/>
  <c r="V16" i="17"/>
  <c r="U16" i="17"/>
  <c r="T16" i="17"/>
  <c r="S16" i="17"/>
  <c r="R16" i="17"/>
  <c r="I16" i="17"/>
  <c r="H16" i="17"/>
  <c r="G16" i="17"/>
  <c r="F16" i="17"/>
  <c r="E16" i="17"/>
  <c r="D16" i="17"/>
  <c r="Q15" i="17"/>
  <c r="F15" i="17"/>
  <c r="D15" i="17"/>
  <c r="Q14" i="17"/>
  <c r="C14" i="17"/>
  <c r="Q13" i="17"/>
  <c r="F13" i="17"/>
  <c r="D13" i="17"/>
  <c r="Q12" i="17"/>
  <c r="F12" i="17"/>
  <c r="D12" i="17"/>
  <c r="Q11" i="17"/>
  <c r="F11" i="17"/>
  <c r="D11" i="17"/>
  <c r="Q10" i="17"/>
  <c r="F10" i="17"/>
  <c r="E10" i="17"/>
  <c r="E9" i="17" s="1"/>
  <c r="E8" i="17" s="1"/>
  <c r="D10" i="17"/>
  <c r="W9" i="17"/>
  <c r="V9" i="17"/>
  <c r="U9" i="17"/>
  <c r="T9" i="17"/>
  <c r="S9" i="17"/>
  <c r="R9" i="17"/>
  <c r="I9" i="17"/>
  <c r="H9" i="17"/>
  <c r="G9" i="17"/>
  <c r="E76" i="16"/>
  <c r="C76" i="16"/>
  <c r="C74" i="16"/>
  <c r="E71" i="16"/>
  <c r="H54" i="16"/>
  <c r="E54" i="16"/>
  <c r="C54" i="16"/>
  <c r="H36" i="16"/>
  <c r="E36" i="16"/>
  <c r="C36" i="16"/>
  <c r="H18" i="16"/>
  <c r="E18" i="16"/>
  <c r="H10" i="16"/>
  <c r="E10" i="16"/>
  <c r="C10" i="16"/>
  <c r="J18" i="15"/>
  <c r="K18" i="15" s="1"/>
  <c r="H35" i="7"/>
  <c r="G35" i="7"/>
  <c r="D35" i="7"/>
  <c r="C35" i="7"/>
  <c r="H23" i="7"/>
  <c r="G23" i="7"/>
  <c r="D23" i="7"/>
  <c r="C23" i="7"/>
  <c r="H17" i="7"/>
  <c r="G17" i="7"/>
  <c r="D17" i="7"/>
  <c r="C17" i="7"/>
  <c r="H9" i="7"/>
  <c r="D9" i="7"/>
  <c r="C9" i="7"/>
  <c r="E32" i="6"/>
  <c r="H32" i="6"/>
  <c r="C32" i="6"/>
  <c r="C26" i="6"/>
  <c r="H18" i="6"/>
  <c r="E18" i="6"/>
  <c r="C18" i="6"/>
  <c r="H15" i="6"/>
  <c r="E15" i="6"/>
  <c r="C15" i="6"/>
  <c r="E9" i="6"/>
  <c r="C9" i="6"/>
  <c r="Q32" i="2"/>
  <c r="J32" i="2"/>
  <c r="C32" i="2"/>
  <c r="Q31" i="2"/>
  <c r="J31" i="2"/>
  <c r="C31" i="2"/>
  <c r="Q30" i="2"/>
  <c r="J30" i="2"/>
  <c r="C30" i="2"/>
  <c r="W29" i="2"/>
  <c r="V29" i="2"/>
  <c r="U29" i="2"/>
  <c r="T29" i="2"/>
  <c r="S29" i="2"/>
  <c r="R29" i="2"/>
  <c r="P29" i="2"/>
  <c r="O29" i="2"/>
  <c r="N29" i="2"/>
  <c r="M29" i="2"/>
  <c r="L29" i="2"/>
  <c r="K29" i="2"/>
  <c r="I29" i="2"/>
  <c r="H29" i="2"/>
  <c r="G29" i="2"/>
  <c r="F29" i="2"/>
  <c r="E29" i="2"/>
  <c r="D29" i="2"/>
  <c r="Q28" i="2"/>
  <c r="J28" i="2"/>
  <c r="C28" i="2"/>
  <c r="Q27" i="2"/>
  <c r="J27" i="2"/>
  <c r="C27" i="2"/>
  <c r="Q26" i="2"/>
  <c r="J26" i="2"/>
  <c r="C26" i="2"/>
  <c r="Q25" i="2"/>
  <c r="J25" i="2"/>
  <c r="C25" i="2"/>
  <c r="Q24" i="2"/>
  <c r="J24" i="2"/>
  <c r="C24" i="2"/>
  <c r="W23" i="2"/>
  <c r="V23" i="2"/>
  <c r="U23" i="2"/>
  <c r="T23" i="2"/>
  <c r="S23" i="2"/>
  <c r="R23" i="2"/>
  <c r="P23" i="2"/>
  <c r="O23" i="2"/>
  <c r="N23" i="2"/>
  <c r="M23" i="2"/>
  <c r="L23" i="2"/>
  <c r="K23" i="2"/>
  <c r="I23" i="2"/>
  <c r="H23" i="2"/>
  <c r="G23" i="2"/>
  <c r="F23" i="2"/>
  <c r="E23" i="2"/>
  <c r="D23" i="2"/>
  <c r="Q22" i="2"/>
  <c r="J22" i="2"/>
  <c r="C22" i="2"/>
  <c r="Q21" i="2"/>
  <c r="J21" i="2"/>
  <c r="C21" i="2"/>
  <c r="W20" i="2"/>
  <c r="V20" i="2"/>
  <c r="U20" i="2"/>
  <c r="T20" i="2"/>
  <c r="S20" i="2"/>
  <c r="R20" i="2"/>
  <c r="P20" i="2"/>
  <c r="O20" i="2"/>
  <c r="N20" i="2"/>
  <c r="M20" i="2"/>
  <c r="L20" i="2"/>
  <c r="K20" i="2"/>
  <c r="I20" i="2"/>
  <c r="H20" i="2"/>
  <c r="G20" i="2"/>
  <c r="F20" i="2"/>
  <c r="E20" i="2"/>
  <c r="D20" i="2"/>
  <c r="Q19" i="2"/>
  <c r="J19" i="2"/>
  <c r="C19" i="2"/>
  <c r="Q18" i="2"/>
  <c r="Q17" i="2" s="1"/>
  <c r="J18" i="2"/>
  <c r="C18" i="2"/>
  <c r="W17" i="2"/>
  <c r="V17" i="2"/>
  <c r="U17" i="2"/>
  <c r="T17" i="2"/>
  <c r="S17" i="2"/>
  <c r="R17" i="2"/>
  <c r="P17" i="2"/>
  <c r="O17" i="2"/>
  <c r="N17" i="2"/>
  <c r="M17" i="2"/>
  <c r="L17" i="2"/>
  <c r="K17" i="2"/>
  <c r="I17" i="2"/>
  <c r="H17" i="2"/>
  <c r="G17" i="2"/>
  <c r="F17" i="2"/>
  <c r="E17" i="2"/>
  <c r="D17" i="2"/>
  <c r="Q16" i="2"/>
  <c r="M16" i="2"/>
  <c r="K16" i="2"/>
  <c r="F16" i="2"/>
  <c r="D16" i="2"/>
  <c r="Q15" i="2"/>
  <c r="J15" i="2"/>
  <c r="C15" i="2"/>
  <c r="Q14" i="2"/>
  <c r="J14" i="2"/>
  <c r="F14" i="2"/>
  <c r="D14" i="2"/>
  <c r="Q13" i="2"/>
  <c r="J13" i="2"/>
  <c r="F13" i="2"/>
  <c r="D13" i="2"/>
  <c r="Q12" i="2"/>
  <c r="J12" i="2"/>
  <c r="F12" i="2"/>
  <c r="D12" i="2"/>
  <c r="D10" i="2" s="1"/>
  <c r="Q11" i="2"/>
  <c r="Q10" i="2" s="1"/>
  <c r="M11" i="2"/>
  <c r="L11" i="2"/>
  <c r="L10" i="2" s="1"/>
  <c r="L9" i="2" s="1"/>
  <c r="K11" i="2"/>
  <c r="J11" i="2" s="1"/>
  <c r="F11" i="2"/>
  <c r="E11" i="2"/>
  <c r="E10" i="2" s="1"/>
  <c r="D11" i="2"/>
  <c r="W10" i="2"/>
  <c r="W9" i="2" s="1"/>
  <c r="V10" i="2"/>
  <c r="U10" i="2"/>
  <c r="T10" i="2"/>
  <c r="S10" i="2"/>
  <c r="S9" i="2" s="1"/>
  <c r="R10" i="2"/>
  <c r="P10" i="2"/>
  <c r="O10" i="2"/>
  <c r="N10" i="2"/>
  <c r="I10" i="2"/>
  <c r="H10" i="2"/>
  <c r="G10" i="2"/>
  <c r="G9" i="2" s="1"/>
  <c r="F77" i="1"/>
  <c r="E77" i="1"/>
  <c r="D77" i="1"/>
  <c r="C77" i="1"/>
  <c r="C75" i="1"/>
  <c r="E72" i="1"/>
  <c r="D72" i="1"/>
  <c r="C62" i="1"/>
  <c r="F55" i="1"/>
  <c r="E55" i="1"/>
  <c r="D55" i="1"/>
  <c r="C55" i="1"/>
  <c r="F49" i="1"/>
  <c r="F38" i="1"/>
  <c r="E38" i="1"/>
  <c r="D38" i="1"/>
  <c r="C38" i="1"/>
  <c r="F20" i="1"/>
  <c r="E20" i="1"/>
  <c r="D20" i="1"/>
  <c r="C20" i="1"/>
  <c r="F12" i="1"/>
  <c r="F11" i="1" s="1"/>
  <c r="E12" i="1"/>
  <c r="E11" i="1" s="1"/>
  <c r="D12" i="1"/>
  <c r="D11" i="1" s="1"/>
  <c r="D10" i="1" s="1"/>
  <c r="D9" i="1" s="1"/>
  <c r="C12" i="1"/>
  <c r="C11" i="1" s="1"/>
  <c r="M10" i="2"/>
  <c r="E26" i="6"/>
  <c r="K132" i="23"/>
  <c r="J169" i="23"/>
  <c r="N216" i="23"/>
  <c r="K225" i="23"/>
  <c r="N278" i="23"/>
  <c r="K294" i="23"/>
  <c r="M296" i="23"/>
  <c r="N325" i="23"/>
  <c r="N324" i="23" s="1"/>
  <c r="K338" i="23"/>
  <c r="K347" i="23"/>
  <c r="U16" i="25" l="1"/>
  <c r="V15" i="25"/>
  <c r="C12" i="2"/>
  <c r="C13" i="2"/>
  <c r="C14" i="2"/>
  <c r="C11" i="17"/>
  <c r="N16" i="25"/>
  <c r="O15" i="25"/>
  <c r="L16" i="25"/>
  <c r="M15" i="25"/>
  <c r="M9" i="2"/>
  <c r="C17" i="2"/>
  <c r="J17" i="2"/>
  <c r="P16" i="25"/>
  <c r="Q15" i="25"/>
  <c r="Y16" i="25"/>
  <c r="F10" i="2"/>
  <c r="F9" i="2" s="1"/>
  <c r="C16" i="2"/>
  <c r="U9" i="2"/>
  <c r="C12" i="17"/>
  <c r="AA16" i="25"/>
  <c r="H365" i="23"/>
  <c r="G365" i="23" s="1"/>
  <c r="E365" i="23" s="1"/>
  <c r="F365" i="23" s="1"/>
  <c r="H370" i="23"/>
  <c r="G370" i="23" s="1"/>
  <c r="E370" i="23" s="1"/>
  <c r="F370" i="23" s="1"/>
  <c r="H271" i="23"/>
  <c r="G271" i="23" s="1"/>
  <c r="E271" i="23" s="1"/>
  <c r="F271" i="23" s="1"/>
  <c r="N304" i="23"/>
  <c r="H345" i="23"/>
  <c r="G345" i="23" s="1"/>
  <c r="E345" i="23" s="1"/>
  <c r="F345" i="23" s="1"/>
  <c r="F356" i="23"/>
  <c r="Q16" i="17"/>
  <c r="Q22" i="17"/>
  <c r="Q9" i="17"/>
  <c r="C15" i="17"/>
  <c r="C28" i="17"/>
  <c r="K10" i="2"/>
  <c r="J20" i="2"/>
  <c r="L64" i="23"/>
  <c r="L65" i="23"/>
  <c r="Q64" i="23"/>
  <c r="Q65" i="23"/>
  <c r="C65" i="23"/>
  <c r="C64" i="23"/>
  <c r="J72" i="25"/>
  <c r="P64" i="23"/>
  <c r="P65" i="23"/>
  <c r="P9" i="2"/>
  <c r="J29" i="2"/>
  <c r="H8" i="17"/>
  <c r="F9" i="17"/>
  <c r="F8" i="17" s="1"/>
  <c r="C16" i="17"/>
  <c r="N65" i="23"/>
  <c r="N64" i="23"/>
  <c r="R65" i="23"/>
  <c r="R64" i="23"/>
  <c r="M99" i="23"/>
  <c r="K64" i="23"/>
  <c r="K65" i="23"/>
  <c r="C10" i="1"/>
  <c r="C9" i="1" s="1"/>
  <c r="I9" i="2"/>
  <c r="J23" i="2"/>
  <c r="V9" i="2"/>
  <c r="I65" i="23"/>
  <c r="I64" i="23"/>
  <c r="O65" i="23"/>
  <c r="O64" i="23"/>
  <c r="C11" i="2"/>
  <c r="C10" i="2" s="1"/>
  <c r="C9" i="2" s="1"/>
  <c r="O9" i="2"/>
  <c r="T9" i="2"/>
  <c r="C20" i="2"/>
  <c r="H372" i="23"/>
  <c r="G372" i="23" s="1"/>
  <c r="E372" i="23" s="1"/>
  <c r="F372" i="23" s="1"/>
  <c r="H380" i="23"/>
  <c r="G380" i="23" s="1"/>
  <c r="E380" i="23" s="1"/>
  <c r="F380" i="23" s="1"/>
  <c r="H388" i="23"/>
  <c r="G388" i="23" s="1"/>
  <c r="E388" i="23" s="1"/>
  <c r="F388" i="23" s="1"/>
  <c r="K9" i="2"/>
  <c r="C29" i="2"/>
  <c r="C19" i="17"/>
  <c r="H422" i="23"/>
  <c r="G422" i="23" s="1"/>
  <c r="E422" i="23" s="1"/>
  <c r="F422" i="23" s="1"/>
  <c r="H426" i="23"/>
  <c r="G426" i="23" s="1"/>
  <c r="E426" i="23" s="1"/>
  <c r="F426" i="23" s="1"/>
  <c r="D9" i="2"/>
  <c r="E10" i="1"/>
  <c r="E9" i="1" s="1"/>
  <c r="J16" i="2"/>
  <c r="J10" i="2" s="1"/>
  <c r="N9" i="2"/>
  <c r="H9" i="2"/>
  <c r="R9" i="2"/>
  <c r="C23" i="2"/>
  <c r="C13" i="17"/>
  <c r="S8" i="17"/>
  <c r="I8" i="17"/>
  <c r="M286" i="23"/>
  <c r="H349" i="23"/>
  <c r="G349" i="23" s="1"/>
  <c r="E349" i="23" s="1"/>
  <c r="F349" i="23" s="1"/>
  <c r="J178" i="23"/>
  <c r="H331" i="23"/>
  <c r="G331" i="23" s="1"/>
  <c r="E331" i="23" s="1"/>
  <c r="F331" i="23" s="1"/>
  <c r="M178" i="23"/>
  <c r="Q324" i="23"/>
  <c r="H52" i="7"/>
  <c r="I54" i="7"/>
  <c r="H397" i="23"/>
  <c r="G397" i="23" s="1"/>
  <c r="E397" i="23" s="1"/>
  <c r="F397" i="23" s="1"/>
  <c r="H360" i="23"/>
  <c r="G360" i="23" s="1"/>
  <c r="E360" i="23" s="1"/>
  <c r="F360" i="23" s="1"/>
  <c r="H329" i="23"/>
  <c r="G329" i="23" s="1"/>
  <c r="E329" i="23" s="1"/>
  <c r="F329" i="23" s="1"/>
  <c r="F228" i="23"/>
  <c r="H406" i="23"/>
  <c r="G406" i="23" s="1"/>
  <c r="T8" i="17"/>
  <c r="J29" i="25"/>
  <c r="H61" i="25"/>
  <c r="P61" i="25"/>
  <c r="Y61" i="25"/>
  <c r="H29" i="25"/>
  <c r="F61" i="25"/>
  <c r="W61" i="25"/>
  <c r="J61" i="25"/>
  <c r="AA61" i="25"/>
  <c r="S72" i="25"/>
  <c r="F29" i="25"/>
  <c r="N29" i="25"/>
  <c r="W29" i="25"/>
  <c r="I304" i="23"/>
  <c r="H312" i="23"/>
  <c r="G312" i="23" s="1"/>
  <c r="E312" i="23" s="1"/>
  <c r="F312" i="23" s="1"/>
  <c r="H323" i="23"/>
  <c r="G323" i="23" s="1"/>
  <c r="E323" i="23" s="1"/>
  <c r="F323" i="23" s="1"/>
  <c r="J325" i="23"/>
  <c r="H357" i="23"/>
  <c r="G357" i="23" s="1"/>
  <c r="E357" i="23" s="1"/>
  <c r="F357" i="23" s="1"/>
  <c r="H37" i="23"/>
  <c r="G37" i="23" s="1"/>
  <c r="E37" i="23" s="1"/>
  <c r="F37" i="23" s="1"/>
  <c r="H152" i="23"/>
  <c r="G152" i="23" s="1"/>
  <c r="E152" i="23" s="1"/>
  <c r="F152" i="23" s="1"/>
  <c r="H229" i="23"/>
  <c r="G229" i="23" s="1"/>
  <c r="E229" i="23" s="1"/>
  <c r="F229" i="23" s="1"/>
  <c r="H277" i="23"/>
  <c r="G277" i="23" s="1"/>
  <c r="E277" i="23" s="1"/>
  <c r="F277" i="23" s="1"/>
  <c r="I293" i="23"/>
  <c r="H366" i="23"/>
  <c r="M169" i="23"/>
  <c r="M167" i="23" s="1"/>
  <c r="H160" i="23"/>
  <c r="G160" i="23" s="1"/>
  <c r="E160" i="23" s="1"/>
  <c r="F160" i="23" s="1"/>
  <c r="I197" i="23"/>
  <c r="H249" i="23"/>
  <c r="G249" i="23" s="1"/>
  <c r="E249" i="23" s="1"/>
  <c r="F249" i="23" s="1"/>
  <c r="C293" i="23"/>
  <c r="J294" i="23"/>
  <c r="J252" i="23"/>
  <c r="M305" i="23"/>
  <c r="J420" i="23"/>
  <c r="J424" i="23"/>
  <c r="J423" i="23" s="1"/>
  <c r="H320" i="23"/>
  <c r="G320" i="23" s="1"/>
  <c r="E320" i="23" s="1"/>
  <c r="F320" i="23" s="1"/>
  <c r="M310" i="23"/>
  <c r="H413" i="23"/>
  <c r="G413" i="23" s="1"/>
  <c r="E413" i="23" s="1"/>
  <c r="F413" i="23" s="1"/>
  <c r="H136" i="23"/>
  <c r="G136" i="23" s="1"/>
  <c r="E136" i="23" s="1"/>
  <c r="F136" i="23" s="1"/>
  <c r="H184" i="23"/>
  <c r="G184" i="23" s="1"/>
  <c r="E184" i="23" s="1"/>
  <c r="F184" i="23" s="1"/>
  <c r="R197" i="23"/>
  <c r="J234" i="23"/>
  <c r="M278" i="23"/>
  <c r="H301" i="23"/>
  <c r="G301" i="23" s="1"/>
  <c r="P304" i="23"/>
  <c r="J305" i="23"/>
  <c r="J338" i="23"/>
  <c r="J347" i="23"/>
  <c r="H109" i="23"/>
  <c r="G109" i="23" s="1"/>
  <c r="E109" i="23" s="1"/>
  <c r="F109" i="23" s="1"/>
  <c r="J167" i="23"/>
  <c r="R85" i="23"/>
  <c r="M117" i="23"/>
  <c r="H56" i="23"/>
  <c r="G56" i="23" s="1"/>
  <c r="E56" i="23" s="1"/>
  <c r="F56" i="23" s="1"/>
  <c r="Q337" i="23"/>
  <c r="H12" i="23"/>
  <c r="M122" i="23"/>
  <c r="H221" i="23"/>
  <c r="G221" i="23" s="1"/>
  <c r="E221" i="23" s="1"/>
  <c r="F221" i="23" s="1"/>
  <c r="J259" i="23"/>
  <c r="H263" i="23"/>
  <c r="G263" i="23" s="1"/>
  <c r="E263" i="23" s="1"/>
  <c r="F263" i="23" s="1"/>
  <c r="O258" i="23"/>
  <c r="J267" i="23"/>
  <c r="H275" i="23"/>
  <c r="G275" i="23" s="1"/>
  <c r="E275" i="23" s="1"/>
  <c r="F275" i="23" s="1"/>
  <c r="R389" i="23"/>
  <c r="J132" i="23"/>
  <c r="J216" i="23"/>
  <c r="J278" i="23"/>
  <c r="J286" i="23"/>
  <c r="J400" i="23"/>
  <c r="M225" i="23"/>
  <c r="C197" i="23"/>
  <c r="I258" i="23"/>
  <c r="I389" i="23"/>
  <c r="J194" i="23"/>
  <c r="M294" i="23"/>
  <c r="N140" i="23"/>
  <c r="M141" i="23"/>
  <c r="J144" i="23"/>
  <c r="I166" i="23"/>
  <c r="I165" i="23" s="1"/>
  <c r="H179" i="23"/>
  <c r="H268" i="23"/>
  <c r="G268" i="23" s="1"/>
  <c r="J364" i="23"/>
  <c r="M267" i="23"/>
  <c r="J44" i="23"/>
  <c r="M61" i="23"/>
  <c r="J122" i="23"/>
  <c r="M144" i="23"/>
  <c r="H143" i="23"/>
  <c r="G143" i="23" s="1"/>
  <c r="E143" i="23" s="1"/>
  <c r="F143" i="23" s="1"/>
  <c r="H50" i="23"/>
  <c r="G50" i="23" s="1"/>
  <c r="E50" i="23" s="1"/>
  <c r="F50" i="23" s="1"/>
  <c r="J315" i="23"/>
  <c r="O324" i="23"/>
  <c r="H402" i="23"/>
  <c r="G402" i="23" s="1"/>
  <c r="E402" i="23" s="1"/>
  <c r="F402" i="23" s="1"/>
  <c r="M274" i="23"/>
  <c r="M132" i="23"/>
  <c r="J310" i="23"/>
  <c r="J299" i="23"/>
  <c r="M355" i="23"/>
  <c r="M87" i="23"/>
  <c r="M86" i="23" s="1"/>
  <c r="H239" i="23"/>
  <c r="G239" i="23" s="1"/>
  <c r="E239" i="23" s="1"/>
  <c r="F239" i="23" s="1"/>
  <c r="H421" i="23"/>
  <c r="O337" i="23"/>
  <c r="H236" i="23"/>
  <c r="G236" i="23" s="1"/>
  <c r="E236" i="23" s="1"/>
  <c r="F236" i="23" s="1"/>
  <c r="C166" i="23"/>
  <c r="C165" i="23" s="1"/>
  <c r="O197" i="23"/>
  <c r="G12" i="29"/>
  <c r="H8" i="7"/>
  <c r="H7" i="7" s="1"/>
  <c r="C25" i="6"/>
  <c r="C14" i="6"/>
  <c r="E25" i="6"/>
  <c r="U10" i="25"/>
  <c r="U9" i="25" s="1"/>
  <c r="D10" i="25"/>
  <c r="D9" i="25" s="1"/>
  <c r="I65" i="25"/>
  <c r="I60" i="25" s="1"/>
  <c r="C24" i="25"/>
  <c r="D29" i="25"/>
  <c r="C30" i="25"/>
  <c r="C33" i="25"/>
  <c r="C28" i="25"/>
  <c r="E37" i="25"/>
  <c r="K65" i="25"/>
  <c r="K60" i="25" s="1"/>
  <c r="S65" i="25"/>
  <c r="S60" i="25" s="1"/>
  <c r="Z65" i="25"/>
  <c r="Z60" i="25" s="1"/>
  <c r="E61" i="25"/>
  <c r="N61" i="25"/>
  <c r="R61" i="25"/>
  <c r="N73" i="25"/>
  <c r="N72" i="25" s="1"/>
  <c r="AA73" i="25"/>
  <c r="L19" i="25"/>
  <c r="U19" i="25"/>
  <c r="W19" i="25"/>
  <c r="W15" i="25" s="1"/>
  <c r="C38" i="25"/>
  <c r="Y73" i="25"/>
  <c r="Y72" i="25" s="1"/>
  <c r="H391" i="23"/>
  <c r="G391" i="23" s="1"/>
  <c r="E391" i="23" s="1"/>
  <c r="F391" i="23" s="1"/>
  <c r="H126" i="23"/>
  <c r="G126" i="23" s="1"/>
  <c r="E126" i="23" s="1"/>
  <c r="F126" i="23" s="1"/>
  <c r="H416" i="23"/>
  <c r="M415" i="23"/>
  <c r="M216" i="23"/>
  <c r="H161" i="23"/>
  <c r="G161" i="23" s="1"/>
  <c r="C337" i="23"/>
  <c r="H142" i="23"/>
  <c r="G142" i="23" s="1"/>
  <c r="E142" i="23" s="1"/>
  <c r="M315" i="23"/>
  <c r="H425" i="23"/>
  <c r="G425" i="23" s="1"/>
  <c r="E425" i="23" s="1"/>
  <c r="F425" i="23" s="1"/>
  <c r="R419" i="23"/>
  <c r="C324" i="23"/>
  <c r="G321" i="23"/>
  <c r="H212" i="23"/>
  <c r="G212" i="23" s="1"/>
  <c r="E212" i="23" s="1"/>
  <c r="F212" i="23" s="1"/>
  <c r="H409" i="23"/>
  <c r="G409" i="23" s="1"/>
  <c r="E409" i="23" s="1"/>
  <c r="F409" i="23" s="1"/>
  <c r="C121" i="23"/>
  <c r="O140" i="23"/>
  <c r="H215" i="23"/>
  <c r="G215" i="23" s="1"/>
  <c r="E215" i="23" s="1"/>
  <c r="F215" i="23" s="1"/>
  <c r="J61" i="23"/>
  <c r="K234" i="23"/>
  <c r="H237" i="23"/>
  <c r="G237" i="23" s="1"/>
  <c r="E237" i="23" s="1"/>
  <c r="F237" i="23" s="1"/>
  <c r="P258" i="23"/>
  <c r="H280" i="23"/>
  <c r="G280" i="23" s="1"/>
  <c r="E280" i="23" s="1"/>
  <c r="F280" i="23" s="1"/>
  <c r="H307" i="23"/>
  <c r="G307" i="23" s="1"/>
  <c r="E307" i="23" s="1"/>
  <c r="F307" i="23" s="1"/>
  <c r="J330" i="23"/>
  <c r="Q389" i="23"/>
  <c r="H23" i="23"/>
  <c r="G23" i="23" s="1"/>
  <c r="E23" i="23" s="1"/>
  <c r="F23" i="23" s="1"/>
  <c r="J87" i="23"/>
  <c r="J86" i="23" s="1"/>
  <c r="H139" i="23"/>
  <c r="G139" i="23" s="1"/>
  <c r="E139" i="23" s="1"/>
  <c r="F139" i="23" s="1"/>
  <c r="J198" i="23"/>
  <c r="C9" i="16"/>
  <c r="C8" i="16" s="1"/>
  <c r="C7" i="16" s="1"/>
  <c r="E9" i="2"/>
  <c r="H14" i="6"/>
  <c r="C8" i="7"/>
  <c r="C7" i="7" s="1"/>
  <c r="C22" i="17"/>
  <c r="Q28" i="17"/>
  <c r="J38" i="23"/>
  <c r="J33" i="23" s="1"/>
  <c r="H39" i="23"/>
  <c r="H63" i="23"/>
  <c r="G63" i="23" s="1"/>
  <c r="E63" i="23" s="1"/>
  <c r="F63" i="23" s="1"/>
  <c r="J66" i="23"/>
  <c r="N121" i="23"/>
  <c r="J159" i="23"/>
  <c r="Q166" i="23"/>
  <c r="Q165" i="23" s="1"/>
  <c r="Q197" i="23"/>
  <c r="H260" i="23"/>
  <c r="G260" i="23" s="1"/>
  <c r="E260" i="23" s="1"/>
  <c r="F260" i="23" s="1"/>
  <c r="M259" i="23"/>
  <c r="Q304" i="23"/>
  <c r="M330" i="23"/>
  <c r="I337" i="23"/>
  <c r="J396" i="23"/>
  <c r="M401" i="23"/>
  <c r="I419" i="23"/>
  <c r="M420" i="23"/>
  <c r="M424" i="23"/>
  <c r="M423" i="23" s="1"/>
  <c r="H296" i="23"/>
  <c r="G296" i="23" s="1"/>
  <c r="E296" i="23" s="1"/>
  <c r="F296" i="23" s="1"/>
  <c r="C10" i="17"/>
  <c r="M347" i="23"/>
  <c r="M15" i="23"/>
  <c r="M13" i="23" s="1"/>
  <c r="M11" i="23" s="1"/>
  <c r="H326" i="23"/>
  <c r="G326" i="23" s="1"/>
  <c r="M325" i="23"/>
  <c r="M324" i="23" s="1"/>
  <c r="H335" i="23"/>
  <c r="G335" i="23" s="1"/>
  <c r="E335" i="23" s="1"/>
  <c r="F335" i="23" s="1"/>
  <c r="K371" i="23"/>
  <c r="J371" i="23"/>
  <c r="J108" i="23"/>
  <c r="H118" i="23"/>
  <c r="G118" i="23" s="1"/>
  <c r="E118" i="23" s="1"/>
  <c r="F118" i="23" s="1"/>
  <c r="J117" i="23"/>
  <c r="H128" i="23"/>
  <c r="G128" i="23" s="1"/>
  <c r="E128" i="23" s="1"/>
  <c r="F128" i="23" s="1"/>
  <c r="H238" i="23"/>
  <c r="G238" i="23" s="1"/>
  <c r="E238" i="23" s="1"/>
  <c r="F238" i="23" s="1"/>
  <c r="L245" i="23"/>
  <c r="L197" i="23" s="1"/>
  <c r="K245" i="23"/>
  <c r="H248" i="23"/>
  <c r="G248" i="23" s="1"/>
  <c r="E248" i="23" s="1"/>
  <c r="F248" i="23" s="1"/>
  <c r="N258" i="23"/>
  <c r="H327" i="23"/>
  <c r="G327" i="23" s="1"/>
  <c r="E327" i="23" s="1"/>
  <c r="F327" i="23" s="1"/>
  <c r="Q20" i="2"/>
  <c r="Q23" i="2"/>
  <c r="Q29" i="2"/>
  <c r="E14" i="6"/>
  <c r="D9" i="17"/>
  <c r="D8" i="17" s="1"/>
  <c r="V8" i="17"/>
  <c r="H246" i="23"/>
  <c r="G246" i="23" s="1"/>
  <c r="E246" i="23" s="1"/>
  <c r="F246" i="23" s="1"/>
  <c r="M245" i="23"/>
  <c r="H317" i="23"/>
  <c r="G317" i="23" s="1"/>
  <c r="E317" i="23" s="1"/>
  <c r="F317" i="23" s="1"/>
  <c r="K337" i="23"/>
  <c r="K293" i="23"/>
  <c r="F10" i="1"/>
  <c r="F9" i="1" s="1"/>
  <c r="D8" i="7"/>
  <c r="D7" i="7" s="1"/>
  <c r="E9" i="16"/>
  <c r="E8" i="16" s="1"/>
  <c r="E7" i="16" s="1"/>
  <c r="G8" i="17"/>
  <c r="R8" i="17"/>
  <c r="U8" i="17"/>
  <c r="Q19" i="17"/>
  <c r="M198" i="23"/>
  <c r="M38" i="23"/>
  <c r="M33" i="23" s="1"/>
  <c r="M29" i="23" s="1"/>
  <c r="M28" i="23" s="1"/>
  <c r="M159" i="23"/>
  <c r="M252" i="23"/>
  <c r="C258" i="23"/>
  <c r="Q258" i="23"/>
  <c r="H342" i="23"/>
  <c r="G342" i="23" s="1"/>
  <c r="E342" i="23" s="1"/>
  <c r="F342" i="23" s="1"/>
  <c r="H387" i="23"/>
  <c r="G387" i="23" s="1"/>
  <c r="E387" i="23" s="1"/>
  <c r="F387" i="23" s="1"/>
  <c r="N389" i="23"/>
  <c r="H393" i="23"/>
  <c r="G393" i="23" s="1"/>
  <c r="E393" i="23" s="1"/>
  <c r="F393" i="23" s="1"/>
  <c r="M396" i="23"/>
  <c r="K419" i="23"/>
  <c r="Q419" i="23"/>
  <c r="P23" i="25"/>
  <c r="D23" i="25"/>
  <c r="C23" i="25" s="1"/>
  <c r="D22" i="25"/>
  <c r="J16" i="25"/>
  <c r="R16" i="25"/>
  <c r="J46" i="25"/>
  <c r="AA46" i="25"/>
  <c r="I9" i="25"/>
  <c r="K19" i="25"/>
  <c r="K15" i="25" s="1"/>
  <c r="AB19" i="25"/>
  <c r="AB15" i="25" s="1"/>
  <c r="E19" i="25"/>
  <c r="H19" i="25"/>
  <c r="H15" i="25" s="1"/>
  <c r="P19" i="25"/>
  <c r="Z19" i="25"/>
  <c r="Z15" i="25" s="1"/>
  <c r="H40" i="25"/>
  <c r="H37" i="25" s="1"/>
  <c r="D40" i="25"/>
  <c r="C40" i="25" s="1"/>
  <c r="L65" i="25"/>
  <c r="H73" i="25"/>
  <c r="I72" i="25"/>
  <c r="P72" i="25"/>
  <c r="D61" i="25"/>
  <c r="L61" i="25"/>
  <c r="U61" i="25"/>
  <c r="F67" i="25"/>
  <c r="D67" i="25"/>
  <c r="D65" i="25" s="1"/>
  <c r="G65" i="25"/>
  <c r="G60" i="25" s="1"/>
  <c r="N67" i="25"/>
  <c r="O65" i="25"/>
  <c r="O60" i="25" s="1"/>
  <c r="H65" i="25"/>
  <c r="L46" i="25"/>
  <c r="U46" i="25"/>
  <c r="M65" i="25"/>
  <c r="M60" i="25" s="1"/>
  <c r="V65" i="25"/>
  <c r="V60" i="25" s="1"/>
  <c r="X72" i="25"/>
  <c r="D16" i="25"/>
  <c r="F16" i="25"/>
  <c r="F15" i="25" s="1"/>
  <c r="C31" i="25"/>
  <c r="N46" i="25"/>
  <c r="W46" i="25"/>
  <c r="O72" i="25"/>
  <c r="L72" i="25"/>
  <c r="U72" i="25"/>
  <c r="AA19" i="25"/>
  <c r="H46" i="25"/>
  <c r="P46" i="25"/>
  <c r="Y46" i="25"/>
  <c r="F72" i="25"/>
  <c r="C12" i="29"/>
  <c r="G23" i="29"/>
  <c r="G10" i="29"/>
  <c r="D27" i="29"/>
  <c r="D23" i="29" s="1"/>
  <c r="N197" i="23"/>
  <c r="N85" i="23"/>
  <c r="J54" i="23"/>
  <c r="Q85" i="23"/>
  <c r="M164" i="23"/>
  <c r="P197" i="23"/>
  <c r="H149" i="23"/>
  <c r="G149" i="23" s="1"/>
  <c r="M400" i="23"/>
  <c r="O85" i="23"/>
  <c r="K33" i="23"/>
  <c r="K29" i="23" s="1"/>
  <c r="K28" i="23" s="1"/>
  <c r="K27" i="23" s="1"/>
  <c r="O33" i="23"/>
  <c r="O29" i="23" s="1"/>
  <c r="O28" i="23" s="1"/>
  <c r="O27" i="23" s="1"/>
  <c r="O26" i="23" s="1"/>
  <c r="I33" i="23"/>
  <c r="I29" i="23" s="1"/>
  <c r="I28" i="23" s="1"/>
  <c r="I27" i="23" s="1"/>
  <c r="N33" i="23"/>
  <c r="N29" i="23" s="1"/>
  <c r="N28" i="23" s="1"/>
  <c r="N27" i="23" s="1"/>
  <c r="Q33" i="23"/>
  <c r="Q29" i="23" s="1"/>
  <c r="Q28" i="23" s="1"/>
  <c r="Q27" i="23" s="1"/>
  <c r="Q26" i="23" s="1"/>
  <c r="H112" i="23"/>
  <c r="G112" i="23" s="1"/>
  <c r="E112" i="23" s="1"/>
  <c r="F112" i="23" s="1"/>
  <c r="H404" i="23"/>
  <c r="G404" i="23" s="1"/>
  <c r="E404" i="23" s="1"/>
  <c r="F404" i="23" s="1"/>
  <c r="H91" i="23"/>
  <c r="G91" i="23" s="1"/>
  <c r="E91" i="23" s="1"/>
  <c r="F91" i="23" s="1"/>
  <c r="H407" i="23"/>
  <c r="G407" i="23" s="1"/>
  <c r="E407" i="23" s="1"/>
  <c r="F407" i="23" s="1"/>
  <c r="M364" i="23"/>
  <c r="H24" i="23"/>
  <c r="G24" i="23" s="1"/>
  <c r="E24" i="23" s="1"/>
  <c r="F24" i="23" s="1"/>
  <c r="H34" i="23"/>
  <c r="H352" i="23"/>
  <c r="G352" i="23" s="1"/>
  <c r="E352" i="23" s="1"/>
  <c r="F352" i="23" s="1"/>
  <c r="H412" i="23"/>
  <c r="G412" i="23" s="1"/>
  <c r="E412" i="23" s="1"/>
  <c r="F412" i="23" s="1"/>
  <c r="M54" i="23"/>
  <c r="H62" i="23"/>
  <c r="G62" i="23" s="1"/>
  <c r="H150" i="23"/>
  <c r="G150" i="23" s="1"/>
  <c r="E150" i="23" s="1"/>
  <c r="F150" i="23" s="1"/>
  <c r="H151" i="23"/>
  <c r="G151" i="23" s="1"/>
  <c r="E151" i="23" s="1"/>
  <c r="F151" i="23" s="1"/>
  <c r="H219" i="23"/>
  <c r="G219" i="23" s="1"/>
  <c r="E219" i="23" s="1"/>
  <c r="F219" i="23" s="1"/>
  <c r="H399" i="23"/>
  <c r="G399" i="23" s="1"/>
  <c r="E399" i="23" s="1"/>
  <c r="H292" i="23"/>
  <c r="G292" i="23" s="1"/>
  <c r="E292" i="23" s="1"/>
  <c r="F292" i="23" s="1"/>
  <c r="H298" i="23"/>
  <c r="G298" i="23" s="1"/>
  <c r="E298" i="23" s="1"/>
  <c r="F298" i="23" s="1"/>
  <c r="H300" i="23"/>
  <c r="G300" i="23" s="1"/>
  <c r="E300" i="23" s="1"/>
  <c r="F300" i="23" s="1"/>
  <c r="H200" i="23"/>
  <c r="G200" i="23" s="1"/>
  <c r="E200" i="23" s="1"/>
  <c r="F200" i="23" s="1"/>
  <c r="H35" i="23"/>
  <c r="G35" i="23" s="1"/>
  <c r="M44" i="23"/>
  <c r="H69" i="23"/>
  <c r="G69" i="23" s="1"/>
  <c r="E69" i="23" s="1"/>
  <c r="F69" i="23" s="1"/>
  <c r="H74" i="23"/>
  <c r="G74" i="23" s="1"/>
  <c r="H80" i="23"/>
  <c r="G80" i="23" s="1"/>
  <c r="E80" i="23" s="1"/>
  <c r="F80" i="23" s="1"/>
  <c r="H105" i="23"/>
  <c r="G105" i="23" s="1"/>
  <c r="E105" i="23" s="1"/>
  <c r="F105" i="23" s="1"/>
  <c r="H106" i="23"/>
  <c r="G106" i="23" s="1"/>
  <c r="E106" i="23" s="1"/>
  <c r="F106" i="23" s="1"/>
  <c r="H107" i="23"/>
  <c r="G107" i="23" s="1"/>
  <c r="E107" i="23" s="1"/>
  <c r="F107" i="23" s="1"/>
  <c r="H114" i="23"/>
  <c r="G114" i="23" s="1"/>
  <c r="E114" i="23" s="1"/>
  <c r="F114" i="23" s="1"/>
  <c r="H138" i="23"/>
  <c r="G138" i="23" s="1"/>
  <c r="E138" i="23" s="1"/>
  <c r="F138" i="23" s="1"/>
  <c r="H270" i="23"/>
  <c r="G270" i="23" s="1"/>
  <c r="E270" i="23" s="1"/>
  <c r="F270" i="23" s="1"/>
  <c r="M299" i="23"/>
  <c r="H359" i="23"/>
  <c r="G359" i="23" s="1"/>
  <c r="E359" i="23" s="1"/>
  <c r="F359" i="23" s="1"/>
  <c r="H368" i="23"/>
  <c r="G368" i="23" s="1"/>
  <c r="E368" i="23" s="1"/>
  <c r="F368" i="23" s="1"/>
  <c r="H384" i="23"/>
  <c r="G384" i="23" s="1"/>
  <c r="E384" i="23" s="1"/>
  <c r="F384" i="23" s="1"/>
  <c r="P389" i="23"/>
  <c r="H156" i="23"/>
  <c r="G156" i="23" s="1"/>
  <c r="E156" i="23" s="1"/>
  <c r="F156" i="23" s="1"/>
  <c r="H158" i="23"/>
  <c r="G158" i="23" s="1"/>
  <c r="E158" i="23" s="1"/>
  <c r="F158" i="23" s="1"/>
  <c r="H202" i="23"/>
  <c r="G202" i="23" s="1"/>
  <c r="E202" i="23" s="1"/>
  <c r="F202" i="23" s="1"/>
  <c r="D8" i="29"/>
  <c r="D7" i="29" s="1"/>
  <c r="C20" i="25"/>
  <c r="C19" i="25" s="1"/>
  <c r="T12" i="25"/>
  <c r="T11" i="25" s="1"/>
  <c r="T8" i="25" s="1"/>
  <c r="T7" i="25" s="1"/>
  <c r="H346" i="23"/>
  <c r="G346" i="23" s="1"/>
  <c r="E346" i="23" s="1"/>
  <c r="F346" i="23" s="1"/>
  <c r="I85" i="23"/>
  <c r="E60" i="23"/>
  <c r="F60" i="23" s="1"/>
  <c r="C43" i="23"/>
  <c r="H223" i="23"/>
  <c r="G223" i="23" s="1"/>
  <c r="E223" i="23" s="1"/>
  <c r="F223" i="23" s="1"/>
  <c r="J355" i="23"/>
  <c r="C63" i="25"/>
  <c r="C64" i="25"/>
  <c r="N43" i="23"/>
  <c r="P85" i="23"/>
  <c r="H264" i="23"/>
  <c r="G264" i="23" s="1"/>
  <c r="E264" i="23" s="1"/>
  <c r="F264" i="23" s="1"/>
  <c r="H266" i="23"/>
  <c r="G266" i="23" s="1"/>
  <c r="E266" i="23" s="1"/>
  <c r="F266" i="23" s="1"/>
  <c r="H269" i="23"/>
  <c r="G269" i="23" s="1"/>
  <c r="E269" i="23" s="1"/>
  <c r="F269" i="23" s="1"/>
  <c r="H272" i="23"/>
  <c r="G272" i="23" s="1"/>
  <c r="E272" i="23" s="1"/>
  <c r="F272" i="23" s="1"/>
  <c r="H273" i="23"/>
  <c r="G273" i="23" s="1"/>
  <c r="E273" i="23" s="1"/>
  <c r="F273" i="23" s="1"/>
  <c r="J274" i="23"/>
  <c r="H290" i="23"/>
  <c r="G290" i="23" s="1"/>
  <c r="E290" i="23" s="1"/>
  <c r="F290" i="23" s="1"/>
  <c r="H309" i="23"/>
  <c r="G309" i="23" s="1"/>
  <c r="E309" i="23" s="1"/>
  <c r="F309" i="23" s="1"/>
  <c r="H376" i="23"/>
  <c r="G376" i="23" s="1"/>
  <c r="E376" i="23" s="1"/>
  <c r="F376" i="23" s="1"/>
  <c r="J379" i="23"/>
  <c r="H403" i="23"/>
  <c r="G403" i="23" s="1"/>
  <c r="E403" i="23" s="1"/>
  <c r="F403" i="23" s="1"/>
  <c r="M234" i="23"/>
  <c r="H97" i="23"/>
  <c r="G97" i="23" s="1"/>
  <c r="E97" i="23" s="1"/>
  <c r="F97" i="23" s="1"/>
  <c r="H110" i="23"/>
  <c r="G110" i="23" s="1"/>
  <c r="E110" i="23" s="1"/>
  <c r="F110" i="23" s="1"/>
  <c r="H111" i="23"/>
  <c r="G111" i="23" s="1"/>
  <c r="E111" i="23" s="1"/>
  <c r="F111" i="23" s="1"/>
  <c r="H127" i="23"/>
  <c r="G127" i="23" s="1"/>
  <c r="E127" i="23" s="1"/>
  <c r="F127" i="23" s="1"/>
  <c r="H177" i="23"/>
  <c r="E177" i="23" s="1"/>
  <c r="F177" i="23" s="1"/>
  <c r="H244" i="23"/>
  <c r="G244" i="23" s="1"/>
  <c r="E244" i="23" s="1"/>
  <c r="F244" i="23" s="1"/>
  <c r="H176" i="23"/>
  <c r="E176" i="23" s="1"/>
  <c r="F176" i="23" s="1"/>
  <c r="H232" i="23"/>
  <c r="G232" i="23" s="1"/>
  <c r="E232" i="23" s="1"/>
  <c r="F232" i="23" s="1"/>
  <c r="H231" i="23"/>
  <c r="G231" i="23" s="1"/>
  <c r="E231" i="23" s="1"/>
  <c r="F231" i="23" s="1"/>
  <c r="N166" i="23"/>
  <c r="N165" i="23" s="1"/>
  <c r="H208" i="23"/>
  <c r="G208" i="23" s="1"/>
  <c r="E208" i="23" s="1"/>
  <c r="F208" i="23" s="1"/>
  <c r="H210" i="23"/>
  <c r="G210" i="23" s="1"/>
  <c r="E210" i="23" s="1"/>
  <c r="F210" i="23" s="1"/>
  <c r="H211" i="23"/>
  <c r="G211" i="23" s="1"/>
  <c r="E211" i="23" s="1"/>
  <c r="F211" i="23" s="1"/>
  <c r="H284" i="23"/>
  <c r="G284" i="23" s="1"/>
  <c r="E284" i="23" s="1"/>
  <c r="F284" i="23" s="1"/>
  <c r="C14" i="25"/>
  <c r="C13" i="25" s="1"/>
  <c r="C18" i="25"/>
  <c r="C71" i="25"/>
  <c r="E72" i="25"/>
  <c r="E65" i="25"/>
  <c r="C44" i="25"/>
  <c r="H313" i="23"/>
  <c r="G313" i="23" s="1"/>
  <c r="E313" i="23" s="1"/>
  <c r="F313" i="23" s="1"/>
  <c r="K9" i="25"/>
  <c r="G19" i="25"/>
  <c r="G15" i="25" s="1"/>
  <c r="J19" i="25"/>
  <c r="N19" i="25"/>
  <c r="R19" i="25"/>
  <c r="C17" i="25"/>
  <c r="L29" i="25"/>
  <c r="P29" i="25"/>
  <c r="U29" i="25"/>
  <c r="Y29" i="25"/>
  <c r="C26" i="25"/>
  <c r="C27" i="25"/>
  <c r="E29" i="25"/>
  <c r="AA29" i="25"/>
  <c r="E32" i="25"/>
  <c r="D46" i="25"/>
  <c r="X65" i="25"/>
  <c r="X60" i="25" s="1"/>
  <c r="AB65" i="25"/>
  <c r="AB60" i="25" s="1"/>
  <c r="F68" i="25"/>
  <c r="J68" i="25"/>
  <c r="N68" i="25"/>
  <c r="W68" i="25"/>
  <c r="AA68" i="25"/>
  <c r="C68" i="25"/>
  <c r="C69" i="25"/>
  <c r="G72" i="25"/>
  <c r="M72" i="25"/>
  <c r="Q72" i="25"/>
  <c r="AB72" i="25"/>
  <c r="D73" i="25"/>
  <c r="R72" i="25"/>
  <c r="W72" i="25"/>
  <c r="C74" i="25"/>
  <c r="AA32" i="25"/>
  <c r="Y32" i="25"/>
  <c r="W32" i="25"/>
  <c r="U32" i="25"/>
  <c r="R32" i="25"/>
  <c r="P32" i="25"/>
  <c r="N32" i="25"/>
  <c r="L32" i="25"/>
  <c r="J32" i="25"/>
  <c r="H32" i="25"/>
  <c r="F32" i="25"/>
  <c r="H392" i="23"/>
  <c r="G392" i="23" s="1"/>
  <c r="E392" i="23" s="1"/>
  <c r="F392" i="23" s="1"/>
  <c r="L121" i="23"/>
  <c r="O304" i="23"/>
  <c r="O293" i="23"/>
  <c r="G311" i="23"/>
  <c r="M379" i="23"/>
  <c r="H381" i="23"/>
  <c r="G381" i="23" s="1"/>
  <c r="E381" i="23" s="1"/>
  <c r="F381" i="23" s="1"/>
  <c r="L338" i="23"/>
  <c r="L337" i="23" s="1"/>
  <c r="L347" i="23"/>
  <c r="K87" i="23"/>
  <c r="K86" i="23" s="1"/>
  <c r="L87" i="23"/>
  <c r="L86" i="23" s="1"/>
  <c r="H40" i="23"/>
  <c r="G40" i="23" s="1"/>
  <c r="H41" i="23"/>
  <c r="G41" i="23" s="1"/>
  <c r="E41" i="23" s="1"/>
  <c r="F41" i="23" s="1"/>
  <c r="H42" i="23"/>
  <c r="G42" i="23" s="1"/>
  <c r="E42" i="23" s="1"/>
  <c r="F42" i="23" s="1"/>
  <c r="I43" i="23"/>
  <c r="H49" i="23"/>
  <c r="G49" i="23" s="1"/>
  <c r="E49" i="23" s="1"/>
  <c r="F49" i="23" s="1"/>
  <c r="H51" i="23"/>
  <c r="G51" i="23" s="1"/>
  <c r="E51" i="23" s="1"/>
  <c r="F51" i="23" s="1"/>
  <c r="H57" i="23"/>
  <c r="G57" i="23" s="1"/>
  <c r="E57" i="23" s="1"/>
  <c r="F57" i="23" s="1"/>
  <c r="H58" i="23"/>
  <c r="G58" i="23" s="1"/>
  <c r="E58" i="23" s="1"/>
  <c r="F58" i="23" s="1"/>
  <c r="H71" i="23"/>
  <c r="G71" i="23" s="1"/>
  <c r="E71" i="23" s="1"/>
  <c r="F71" i="23" s="1"/>
  <c r="H72" i="23"/>
  <c r="G72" i="23" s="1"/>
  <c r="E72" i="23" s="1"/>
  <c r="F72" i="23" s="1"/>
  <c r="H92" i="23"/>
  <c r="G92" i="23" s="1"/>
  <c r="E92" i="23" s="1"/>
  <c r="F92" i="23" s="1"/>
  <c r="H93" i="23"/>
  <c r="G93" i="23" s="1"/>
  <c r="E93" i="23" s="1"/>
  <c r="F93" i="23" s="1"/>
  <c r="H94" i="23"/>
  <c r="G94" i="23" s="1"/>
  <c r="E94" i="23" s="1"/>
  <c r="F94" i="23" s="1"/>
  <c r="H95" i="23"/>
  <c r="G95" i="23" s="1"/>
  <c r="E95" i="23" s="1"/>
  <c r="F95" i="23" s="1"/>
  <c r="H96" i="23"/>
  <c r="G96" i="23" s="1"/>
  <c r="E96" i="23" s="1"/>
  <c r="F96" i="23" s="1"/>
  <c r="H101" i="23"/>
  <c r="M108" i="23"/>
  <c r="H116" i="23"/>
  <c r="G116" i="23" s="1"/>
  <c r="E116" i="23" s="1"/>
  <c r="F116" i="23" s="1"/>
  <c r="K122" i="23"/>
  <c r="K121" i="23" s="1"/>
  <c r="H135" i="23"/>
  <c r="G135" i="23" s="1"/>
  <c r="E135" i="23" s="1"/>
  <c r="F135" i="23" s="1"/>
  <c r="H137" i="23"/>
  <c r="G137" i="23" s="1"/>
  <c r="E137" i="23" s="1"/>
  <c r="F137" i="23" s="1"/>
  <c r="Q140" i="23"/>
  <c r="H145" i="23"/>
  <c r="G145" i="23" s="1"/>
  <c r="E145" i="23" s="1"/>
  <c r="H154" i="23"/>
  <c r="G154" i="23" s="1"/>
  <c r="E154" i="23" s="1"/>
  <c r="F154" i="23" s="1"/>
  <c r="H155" i="23"/>
  <c r="G155" i="23" s="1"/>
  <c r="E155" i="23" s="1"/>
  <c r="F155" i="23" s="1"/>
  <c r="C419" i="23"/>
  <c r="Q121" i="23"/>
  <c r="H183" i="23"/>
  <c r="G183" i="23" s="1"/>
  <c r="E183" i="23" s="1"/>
  <c r="F183" i="23" s="1"/>
  <c r="H185" i="23"/>
  <c r="G185" i="23" s="1"/>
  <c r="E185" i="23" s="1"/>
  <c r="F185" i="23" s="1"/>
  <c r="O194" i="23"/>
  <c r="M194" i="23"/>
  <c r="H204" i="23"/>
  <c r="G204" i="23" s="1"/>
  <c r="E204" i="23" s="1"/>
  <c r="F204" i="23" s="1"/>
  <c r="H205" i="23"/>
  <c r="G205" i="23" s="1"/>
  <c r="E205" i="23" s="1"/>
  <c r="F205" i="23" s="1"/>
  <c r="H206" i="23"/>
  <c r="G206" i="23" s="1"/>
  <c r="E206" i="23" s="1"/>
  <c r="F206" i="23" s="1"/>
  <c r="H207" i="23"/>
  <c r="G207" i="23" s="1"/>
  <c r="E207" i="23" s="1"/>
  <c r="F207" i="23" s="1"/>
  <c r="H218" i="23"/>
  <c r="G218" i="23" s="1"/>
  <c r="E218" i="23" s="1"/>
  <c r="F218" i="23" s="1"/>
  <c r="H227" i="23"/>
  <c r="G227" i="23" s="1"/>
  <c r="H282" i="23"/>
  <c r="G282" i="23" s="1"/>
  <c r="E282" i="23" s="1"/>
  <c r="F282" i="23" s="1"/>
  <c r="H283" i="23"/>
  <c r="G283" i="23" s="1"/>
  <c r="E283" i="23" s="1"/>
  <c r="F283" i="23" s="1"/>
  <c r="K286" i="23"/>
  <c r="P293" i="23"/>
  <c r="R293" i="23"/>
  <c r="N293" i="23"/>
  <c r="H319" i="23"/>
  <c r="G319" i="23" s="1"/>
  <c r="E319" i="23" s="1"/>
  <c r="F319" i="23" s="1"/>
  <c r="P324" i="23"/>
  <c r="P337" i="23"/>
  <c r="R337" i="23"/>
  <c r="J344" i="23"/>
  <c r="H351" i="23"/>
  <c r="G351" i="23" s="1"/>
  <c r="E351" i="23" s="1"/>
  <c r="F351" i="23" s="1"/>
  <c r="H362" i="23"/>
  <c r="G362" i="23" s="1"/>
  <c r="E362" i="23" s="1"/>
  <c r="F362" i="23" s="1"/>
  <c r="H363" i="23"/>
  <c r="G363" i="23" s="1"/>
  <c r="E363" i="23" s="1"/>
  <c r="F363" i="23" s="1"/>
  <c r="H375" i="23"/>
  <c r="G375" i="23" s="1"/>
  <c r="E375" i="23" s="1"/>
  <c r="F375" i="23" s="1"/>
  <c r="H382" i="23"/>
  <c r="G382" i="23" s="1"/>
  <c r="E382" i="23" s="1"/>
  <c r="F382" i="23" s="1"/>
  <c r="H383" i="23"/>
  <c r="G383" i="23" s="1"/>
  <c r="E383" i="23" s="1"/>
  <c r="F383" i="23" s="1"/>
  <c r="J390" i="23"/>
  <c r="H405" i="23"/>
  <c r="G405" i="23" s="1"/>
  <c r="E405" i="23" s="1"/>
  <c r="F405" i="23" s="1"/>
  <c r="H21" i="23"/>
  <c r="G21" i="23" s="1"/>
  <c r="E21" i="23" s="1"/>
  <c r="F21" i="23" s="1"/>
  <c r="H25" i="6"/>
  <c r="H410" i="23"/>
  <c r="G410" i="23" s="1"/>
  <c r="E410" i="23" s="1"/>
  <c r="F410" i="23" s="1"/>
  <c r="C70" i="25"/>
  <c r="Y65" i="25"/>
  <c r="U65" i="25"/>
  <c r="P65" i="25"/>
  <c r="G8" i="7"/>
  <c r="G7" i="7" s="1"/>
  <c r="H9" i="16"/>
  <c r="W8" i="17"/>
  <c r="C62" i="25"/>
  <c r="R29" i="25"/>
  <c r="Q60" i="25"/>
  <c r="H411" i="23"/>
  <c r="G411" i="23" s="1"/>
  <c r="E411" i="23" s="1"/>
  <c r="F411" i="23" s="1"/>
  <c r="H394" i="23"/>
  <c r="H243" i="23"/>
  <c r="G243" i="23" s="1"/>
  <c r="E243" i="23" s="1"/>
  <c r="F243" i="23" s="1"/>
  <c r="C39" i="25"/>
  <c r="C36" i="25"/>
  <c r="D32" i="25"/>
  <c r="C25" i="25"/>
  <c r="H340" i="23"/>
  <c r="H261" i="23"/>
  <c r="G261" i="23" s="1"/>
  <c r="E261" i="23" s="1"/>
  <c r="F261" i="23" s="1"/>
  <c r="H124" i="23"/>
  <c r="G124" i="23" s="1"/>
  <c r="E406" i="23"/>
  <c r="F406" i="23" s="1"/>
  <c r="E199" i="23"/>
  <c r="F199" i="23" s="1"/>
  <c r="C27" i="23"/>
  <c r="P43" i="23"/>
  <c r="R43" i="23"/>
  <c r="K54" i="23"/>
  <c r="H59" i="23"/>
  <c r="G59" i="23" s="1"/>
  <c r="E59" i="23" s="1"/>
  <c r="F59" i="23" s="1"/>
  <c r="C85" i="23"/>
  <c r="H90" i="23"/>
  <c r="G90" i="23" s="1"/>
  <c r="H115" i="23"/>
  <c r="G115" i="23" s="1"/>
  <c r="E115" i="23" s="1"/>
  <c r="F115" i="23" s="1"/>
  <c r="H119" i="23"/>
  <c r="O121" i="23"/>
  <c r="H125" i="23"/>
  <c r="G125" i="23" s="1"/>
  <c r="E125" i="23" s="1"/>
  <c r="F125" i="23" s="1"/>
  <c r="H129" i="23"/>
  <c r="G129" i="23" s="1"/>
  <c r="E129" i="23" s="1"/>
  <c r="F129" i="23" s="1"/>
  <c r="H131" i="23"/>
  <c r="G131" i="23" s="1"/>
  <c r="C140" i="23"/>
  <c r="K140" i="23"/>
  <c r="J141" i="23"/>
  <c r="P140" i="23"/>
  <c r="H153" i="23"/>
  <c r="G153" i="23" s="1"/>
  <c r="E153" i="23" s="1"/>
  <c r="F153" i="23" s="1"/>
  <c r="H157" i="23"/>
  <c r="G157" i="23" s="1"/>
  <c r="E157" i="23" s="1"/>
  <c r="F157" i="23" s="1"/>
  <c r="H162" i="23"/>
  <c r="G162" i="23" s="1"/>
  <c r="E162" i="23" s="1"/>
  <c r="F162" i="23" s="1"/>
  <c r="H171" i="23"/>
  <c r="H173" i="23"/>
  <c r="G173" i="23" s="1"/>
  <c r="E173" i="23" s="1"/>
  <c r="F173" i="23" s="1"/>
  <c r="H174" i="23"/>
  <c r="G174" i="23" s="1"/>
  <c r="E174" i="23" s="1"/>
  <c r="F174" i="23" s="1"/>
  <c r="H196" i="23"/>
  <c r="G196" i="23" s="1"/>
  <c r="E196" i="23" s="1"/>
  <c r="F196" i="23" s="1"/>
  <c r="J225" i="23"/>
  <c r="H14" i="23"/>
  <c r="G14" i="23" s="1"/>
  <c r="H36" i="23"/>
  <c r="G36" i="23" s="1"/>
  <c r="E36" i="23" s="1"/>
  <c r="F36" i="23" s="1"/>
  <c r="H209" i="23"/>
  <c r="G209" i="23" s="1"/>
  <c r="E209" i="23" s="1"/>
  <c r="F209" i="23" s="1"/>
  <c r="H213" i="23"/>
  <c r="G213" i="23" s="1"/>
  <c r="E213" i="23" s="1"/>
  <c r="F213" i="23" s="1"/>
  <c r="H220" i="23"/>
  <c r="H222" i="23"/>
  <c r="G222" i="23" s="1"/>
  <c r="E222" i="23" s="1"/>
  <c r="F222" i="23" s="1"/>
  <c r="H242" i="23"/>
  <c r="J245" i="23"/>
  <c r="H250" i="23"/>
  <c r="G250" i="23" s="1"/>
  <c r="E250" i="23" s="1"/>
  <c r="F250" i="23" s="1"/>
  <c r="H255" i="23"/>
  <c r="G255" i="23" s="1"/>
  <c r="E255" i="23" s="1"/>
  <c r="F255" i="23" s="1"/>
  <c r="H265" i="23"/>
  <c r="R258" i="23"/>
  <c r="H281" i="23"/>
  <c r="G281" i="23" s="1"/>
  <c r="H285" i="23"/>
  <c r="G285" i="23" s="1"/>
  <c r="E285" i="23" s="1"/>
  <c r="F285" i="23" s="1"/>
  <c r="H291" i="23"/>
  <c r="G291" i="23" s="1"/>
  <c r="E291" i="23" s="1"/>
  <c r="F291" i="23" s="1"/>
  <c r="Q293" i="23"/>
  <c r="H303" i="23"/>
  <c r="G303" i="23" s="1"/>
  <c r="E303" i="23" s="1"/>
  <c r="F303" i="23" s="1"/>
  <c r="R304" i="23"/>
  <c r="H318" i="23"/>
  <c r="G318" i="23" s="1"/>
  <c r="R324" i="23"/>
  <c r="H332" i="23"/>
  <c r="G332" i="23" s="1"/>
  <c r="N337" i="23"/>
  <c r="M344" i="23"/>
  <c r="H354" i="23"/>
  <c r="H361" i="23"/>
  <c r="G361" i="23" s="1"/>
  <c r="E361" i="23" s="1"/>
  <c r="F361" i="23" s="1"/>
  <c r="H369" i="23"/>
  <c r="G369" i="23" s="1"/>
  <c r="E369" i="23" s="1"/>
  <c r="F369" i="23" s="1"/>
  <c r="H374" i="23"/>
  <c r="G374" i="23" s="1"/>
  <c r="E374" i="23" s="1"/>
  <c r="F374" i="23" s="1"/>
  <c r="M390" i="23"/>
  <c r="H408" i="23"/>
  <c r="P419" i="23"/>
  <c r="C304" i="23"/>
  <c r="C389" i="23"/>
  <c r="K389" i="23"/>
  <c r="H414" i="23"/>
  <c r="G414" i="23" s="1"/>
  <c r="E414" i="23" s="1"/>
  <c r="F414" i="23" s="1"/>
  <c r="O419" i="23"/>
  <c r="I140" i="23"/>
  <c r="H22" i="23"/>
  <c r="G22" i="23" s="1"/>
  <c r="E22" i="23" s="1"/>
  <c r="F22" i="23" s="1"/>
  <c r="H47" i="23"/>
  <c r="G47" i="23" s="1"/>
  <c r="E47" i="23" s="1"/>
  <c r="F47" i="23" s="1"/>
  <c r="M66" i="23"/>
  <c r="H70" i="23"/>
  <c r="G70" i="23" s="1"/>
  <c r="E70" i="23" s="1"/>
  <c r="R140" i="23"/>
  <c r="R166" i="23"/>
  <c r="R165" i="23" s="1"/>
  <c r="F188" i="23"/>
  <c r="G276" i="23"/>
  <c r="G366" i="23"/>
  <c r="M338" i="23"/>
  <c r="H288" i="23"/>
  <c r="G288" i="23" s="1"/>
  <c r="H254" i="23"/>
  <c r="G254" i="23" s="1"/>
  <c r="E254" i="23" s="1"/>
  <c r="F254" i="23" s="1"/>
  <c r="H247" i="23"/>
  <c r="H175" i="23"/>
  <c r="H134" i="23"/>
  <c r="G134" i="23" s="1"/>
  <c r="H48" i="23"/>
  <c r="O166" i="23"/>
  <c r="O165" i="23" s="1"/>
  <c r="H180" i="23"/>
  <c r="E46" i="23"/>
  <c r="F46" i="23" s="1"/>
  <c r="R27" i="23"/>
  <c r="J20" i="15"/>
  <c r="K379" i="23"/>
  <c r="L379" i="23"/>
  <c r="M371" i="23"/>
  <c r="H373" i="23"/>
  <c r="G358" i="23"/>
  <c r="L364" i="23"/>
  <c r="K364" i="23"/>
  <c r="H417" i="23"/>
  <c r="G417" i="23" s="1"/>
  <c r="J15" i="23"/>
  <c r="J13" i="23" s="1"/>
  <c r="J11" i="23" s="1"/>
  <c r="H18" i="23"/>
  <c r="K44" i="23"/>
  <c r="H55" i="23"/>
  <c r="R121" i="23"/>
  <c r="K164" i="23"/>
  <c r="H168" i="23"/>
  <c r="H195" i="23"/>
  <c r="K252" i="23"/>
  <c r="H253" i="23"/>
  <c r="K259" i="23"/>
  <c r="K258" i="23" s="1"/>
  <c r="K305" i="23"/>
  <c r="K304" i="23" s="1"/>
  <c r="K325" i="23"/>
  <c r="K324" i="23" s="1"/>
  <c r="J164" i="23"/>
  <c r="F37" i="25"/>
  <c r="J37" i="25"/>
  <c r="N37" i="25"/>
  <c r="W37" i="25"/>
  <c r="AA37" i="25"/>
  <c r="Y19" i="25"/>
  <c r="L37" i="25"/>
  <c r="P37" i="25"/>
  <c r="U37" i="25"/>
  <c r="Y37" i="25"/>
  <c r="G37" i="25"/>
  <c r="I37" i="25"/>
  <c r="K37" i="25"/>
  <c r="M37" i="25"/>
  <c r="O37" i="25"/>
  <c r="Q37" i="25"/>
  <c r="S37" i="25"/>
  <c r="V37" i="25"/>
  <c r="X37" i="25"/>
  <c r="Z37" i="25"/>
  <c r="AB37" i="25"/>
  <c r="E15" i="25" l="1"/>
  <c r="P60" i="25"/>
  <c r="C16" i="25"/>
  <c r="P15" i="25"/>
  <c r="F145" i="23"/>
  <c r="Q8" i="17"/>
  <c r="AA15" i="25"/>
  <c r="Y15" i="25"/>
  <c r="L15" i="25"/>
  <c r="J15" i="25"/>
  <c r="R15" i="25"/>
  <c r="J9" i="2"/>
  <c r="N15" i="25"/>
  <c r="U15" i="25"/>
  <c r="I53" i="7"/>
  <c r="C37" i="25"/>
  <c r="C9" i="17"/>
  <c r="C8" i="17" s="1"/>
  <c r="G101" i="23"/>
  <c r="H99" i="23"/>
  <c r="J65" i="23"/>
  <c r="J64" i="23"/>
  <c r="M64" i="23"/>
  <c r="M65" i="23"/>
  <c r="J121" i="23"/>
  <c r="Q9" i="2"/>
  <c r="H420" i="23"/>
  <c r="C10" i="25"/>
  <c r="C9" i="25" s="1"/>
  <c r="G179" i="23"/>
  <c r="H178" i="23"/>
  <c r="H415" i="23"/>
  <c r="H60" i="25"/>
  <c r="G8" i="29"/>
  <c r="G7" i="29" s="1"/>
  <c r="Y60" i="25"/>
  <c r="L164" i="23"/>
  <c r="H117" i="23"/>
  <c r="J293" i="23"/>
  <c r="J337" i="23"/>
  <c r="J324" i="23"/>
  <c r="G119" i="23"/>
  <c r="E119" i="23" s="1"/>
  <c r="F119" i="23" s="1"/>
  <c r="J166" i="23"/>
  <c r="J165" i="23" s="1"/>
  <c r="M121" i="23"/>
  <c r="M304" i="23"/>
  <c r="H274" i="23"/>
  <c r="C26" i="23"/>
  <c r="J258" i="23"/>
  <c r="J304" i="23"/>
  <c r="J419" i="23"/>
  <c r="G177" i="23"/>
  <c r="H267" i="23"/>
  <c r="H325" i="23"/>
  <c r="H38" i="23"/>
  <c r="H33" i="23" s="1"/>
  <c r="Q257" i="23"/>
  <c r="Q163" i="23" s="1"/>
  <c r="Q81" i="23" s="1"/>
  <c r="Q25" i="23" s="1"/>
  <c r="Q10" i="23" s="1"/>
  <c r="Q429" i="23" s="1"/>
  <c r="M293" i="23"/>
  <c r="N257" i="23"/>
  <c r="N163" i="23" s="1"/>
  <c r="N81" i="23" s="1"/>
  <c r="H61" i="23"/>
  <c r="G176" i="23"/>
  <c r="M140" i="23"/>
  <c r="J43" i="23"/>
  <c r="M166" i="23"/>
  <c r="M165" i="23" s="1"/>
  <c r="G12" i="23"/>
  <c r="J85" i="23"/>
  <c r="C257" i="23"/>
  <c r="C163" i="23" s="1"/>
  <c r="I257" i="23"/>
  <c r="I163" i="23" s="1"/>
  <c r="I81" i="23" s="1"/>
  <c r="H141" i="23"/>
  <c r="M258" i="23"/>
  <c r="J140" i="23"/>
  <c r="J389" i="23"/>
  <c r="M85" i="23"/>
  <c r="E401" i="23"/>
  <c r="F401" i="23" s="1"/>
  <c r="G141" i="23"/>
  <c r="E161" i="23"/>
  <c r="F161" i="23" s="1"/>
  <c r="G159" i="23"/>
  <c r="E396" i="23"/>
  <c r="F396" i="23" s="1"/>
  <c r="F399" i="23"/>
  <c r="K197" i="23"/>
  <c r="H159" i="23"/>
  <c r="H330" i="23"/>
  <c r="H73" i="23"/>
  <c r="M197" i="23"/>
  <c r="E424" i="23"/>
  <c r="G421" i="23"/>
  <c r="E66" i="23"/>
  <c r="F70" i="23"/>
  <c r="E141" i="23"/>
  <c r="F141" i="23" s="1"/>
  <c r="F142" i="23"/>
  <c r="H132" i="23"/>
  <c r="H225" i="23"/>
  <c r="E108" i="23"/>
  <c r="F108" i="23" s="1"/>
  <c r="H364" i="23"/>
  <c r="M389" i="23"/>
  <c r="G424" i="23"/>
  <c r="G423" i="23" s="1"/>
  <c r="H424" i="23"/>
  <c r="H423" i="23" s="1"/>
  <c r="H419" i="23" s="1"/>
  <c r="D60" i="25"/>
  <c r="C67" i="25"/>
  <c r="C65" i="25" s="1"/>
  <c r="C32" i="25"/>
  <c r="L60" i="25"/>
  <c r="L12" i="25" s="1"/>
  <c r="L11" i="25" s="1"/>
  <c r="C29" i="25"/>
  <c r="U60" i="25"/>
  <c r="E60" i="25"/>
  <c r="AA72" i="25"/>
  <c r="K12" i="25"/>
  <c r="K11" i="25" s="1"/>
  <c r="M43" i="23"/>
  <c r="L85" i="23"/>
  <c r="K85" i="23"/>
  <c r="G416" i="23"/>
  <c r="H315" i="23"/>
  <c r="E321" i="23"/>
  <c r="F321" i="23" s="1"/>
  <c r="G315" i="23"/>
  <c r="M419" i="23"/>
  <c r="R257" i="23"/>
  <c r="R163" i="23" s="1"/>
  <c r="R81" i="23" s="1"/>
  <c r="C10" i="29"/>
  <c r="D37" i="25"/>
  <c r="C22" i="25"/>
  <c r="O12" i="25"/>
  <c r="O11" i="25" s="1"/>
  <c r="H72" i="25"/>
  <c r="Z12" i="25"/>
  <c r="Z11" i="25" s="1"/>
  <c r="Z8" i="25" s="1"/>
  <c r="AB12" i="25"/>
  <c r="AB11" i="25" s="1"/>
  <c r="H8" i="16"/>
  <c r="H54" i="23"/>
  <c r="H286" i="23"/>
  <c r="M337" i="23"/>
  <c r="H344" i="23"/>
  <c r="I26" i="23"/>
  <c r="N26" i="23"/>
  <c r="G34" i="23"/>
  <c r="J29" i="23"/>
  <c r="J28" i="23" s="1"/>
  <c r="J27" i="23" s="1"/>
  <c r="O257" i="23"/>
  <c r="O163" i="23" s="1"/>
  <c r="O81" i="23" s="1"/>
  <c r="O25" i="23" s="1"/>
  <c r="H87" i="23"/>
  <c r="H86" i="23" s="1"/>
  <c r="L257" i="23"/>
  <c r="H355" i="23"/>
  <c r="H108" i="23"/>
  <c r="G108" i="23"/>
  <c r="H310" i="23"/>
  <c r="L54" i="23"/>
  <c r="L43" i="23" s="1"/>
  <c r="L26" i="23" s="1"/>
  <c r="K43" i="23"/>
  <c r="K26" i="23" s="1"/>
  <c r="C61" i="25"/>
  <c r="R26" i="23"/>
  <c r="H66" i="23"/>
  <c r="H401" i="23"/>
  <c r="J197" i="23"/>
  <c r="G401" i="23"/>
  <c r="D19" i="25"/>
  <c r="D15" i="25" s="1"/>
  <c r="M12" i="25"/>
  <c r="M11" i="25" s="1"/>
  <c r="AA65" i="25"/>
  <c r="AA60" i="25" s="1"/>
  <c r="R65" i="25"/>
  <c r="R60" i="25" s="1"/>
  <c r="J65" i="25"/>
  <c r="J60" i="25" s="1"/>
  <c r="C46" i="25"/>
  <c r="X12" i="25"/>
  <c r="X11" i="25" s="1"/>
  <c r="C73" i="25"/>
  <c r="D72" i="25"/>
  <c r="W65" i="25"/>
  <c r="W60" i="25" s="1"/>
  <c r="N65" i="25"/>
  <c r="N60" i="25" s="1"/>
  <c r="F65" i="25"/>
  <c r="F60" i="25" s="1"/>
  <c r="E268" i="23"/>
  <c r="G267" i="23"/>
  <c r="E311" i="23"/>
  <c r="G310" i="23"/>
  <c r="P257" i="23"/>
  <c r="P163" i="23" s="1"/>
  <c r="P81" i="23" s="1"/>
  <c r="E14" i="23"/>
  <c r="H396" i="23"/>
  <c r="G394" i="23"/>
  <c r="H390" i="23"/>
  <c r="G396" i="23"/>
  <c r="Q12" i="25"/>
  <c r="Q11" i="25" s="1"/>
  <c r="I12" i="25"/>
  <c r="I11" i="25" s="1"/>
  <c r="G340" i="23"/>
  <c r="H338" i="23"/>
  <c r="G408" i="23"/>
  <c r="H400" i="23"/>
  <c r="H379" i="23"/>
  <c r="E318" i="23"/>
  <c r="F318" i="23" s="1"/>
  <c r="H305" i="23"/>
  <c r="H294" i="23"/>
  <c r="E281" i="23"/>
  <c r="G278" i="23"/>
  <c r="G265" i="23"/>
  <c r="H259" i="23"/>
  <c r="G242" i="23"/>
  <c r="H234" i="23"/>
  <c r="G220" i="23"/>
  <c r="H216" i="23"/>
  <c r="H299" i="23"/>
  <c r="H198" i="23"/>
  <c r="G171" i="23"/>
  <c r="H169" i="23"/>
  <c r="H167" i="23" s="1"/>
  <c r="E131" i="23"/>
  <c r="F131" i="23" s="1"/>
  <c r="H278" i="23"/>
  <c r="E198" i="23"/>
  <c r="F198" i="23" s="1"/>
  <c r="G122" i="23"/>
  <c r="E124" i="23"/>
  <c r="F124" i="23" s="1"/>
  <c r="E149" i="23"/>
  <c r="E144" i="23" s="1"/>
  <c r="G144" i="23"/>
  <c r="E74" i="23"/>
  <c r="G73" i="23"/>
  <c r="E40" i="23"/>
  <c r="F40" i="23" s="1"/>
  <c r="G354" i="23"/>
  <c r="H347" i="23"/>
  <c r="G198" i="23"/>
  <c r="H122" i="23"/>
  <c r="H144" i="23"/>
  <c r="E90" i="23"/>
  <c r="F90" i="23" s="1"/>
  <c r="G87" i="23"/>
  <c r="G86" i="23" s="1"/>
  <c r="E35" i="23"/>
  <c r="F35" i="23" s="1"/>
  <c r="G66" i="23"/>
  <c r="E62" i="23"/>
  <c r="G61" i="23"/>
  <c r="G274" i="23"/>
  <c r="E276" i="23"/>
  <c r="E366" i="23"/>
  <c r="G364" i="23"/>
  <c r="G247" i="23"/>
  <c r="H245" i="23"/>
  <c r="G225" i="23"/>
  <c r="E227" i="23"/>
  <c r="E175" i="23"/>
  <c r="F175" i="23" s="1"/>
  <c r="G175" i="23"/>
  <c r="G48" i="23"/>
  <c r="H44" i="23"/>
  <c r="G180" i="23"/>
  <c r="H30" i="23"/>
  <c r="G253" i="23"/>
  <c r="H252" i="23"/>
  <c r="G195" i="23"/>
  <c r="H194" i="23"/>
  <c r="H164" i="23"/>
  <c r="G168" i="23"/>
  <c r="G18" i="23"/>
  <c r="H15" i="23"/>
  <c r="H13" i="23" s="1"/>
  <c r="H11" i="23" s="1"/>
  <c r="E288" i="23"/>
  <c r="G286" i="23"/>
  <c r="E134" i="23"/>
  <c r="F134" i="23" s="1"/>
  <c r="G132" i="23"/>
  <c r="E301" i="23"/>
  <c r="G299" i="23"/>
  <c r="V12" i="25"/>
  <c r="V11" i="25" s="1"/>
  <c r="S12" i="25"/>
  <c r="S11" i="25" s="1"/>
  <c r="K257" i="23"/>
  <c r="L167" i="23"/>
  <c r="L166" i="23" s="1"/>
  <c r="L165" i="23" s="1"/>
  <c r="K167" i="23"/>
  <c r="K166" i="23" s="1"/>
  <c r="K165" i="23" s="1"/>
  <c r="G55" i="23"/>
  <c r="G54" i="23" s="1"/>
  <c r="E344" i="23"/>
  <c r="F344" i="23" s="1"/>
  <c r="G344" i="23"/>
  <c r="E332" i="23"/>
  <c r="G330" i="23"/>
  <c r="E417" i="23"/>
  <c r="F417" i="23" s="1"/>
  <c r="E358" i="23"/>
  <c r="E355" i="23" s="1"/>
  <c r="G355" i="23"/>
  <c r="E326" i="23"/>
  <c r="E325" i="23" s="1"/>
  <c r="G325" i="23"/>
  <c r="M27" i="23"/>
  <c r="G373" i="23"/>
  <c r="H371" i="23"/>
  <c r="G117" i="23"/>
  <c r="E12" i="25" l="1"/>
  <c r="E11" i="25" s="1"/>
  <c r="E8" i="25" s="1"/>
  <c r="E7" i="25" s="1"/>
  <c r="C15" i="25"/>
  <c r="E117" i="23"/>
  <c r="F117" i="23" s="1"/>
  <c r="F14" i="23"/>
  <c r="E101" i="23"/>
  <c r="G99" i="23"/>
  <c r="G85" i="23" s="1"/>
  <c r="H65" i="23"/>
  <c r="H64" i="23"/>
  <c r="F66" i="23"/>
  <c r="G65" i="23"/>
  <c r="G64" i="23"/>
  <c r="G178" i="23"/>
  <c r="E179" i="23"/>
  <c r="U12" i="25"/>
  <c r="U11" i="25" s="1"/>
  <c r="E225" i="23"/>
  <c r="F225" i="23" s="1"/>
  <c r="H337" i="23"/>
  <c r="H324" i="23"/>
  <c r="J257" i="23"/>
  <c r="J163" i="23" s="1"/>
  <c r="J81" i="23" s="1"/>
  <c r="M257" i="23"/>
  <c r="M163" i="23" s="1"/>
  <c r="M81" i="23" s="1"/>
  <c r="H258" i="23"/>
  <c r="N25" i="23"/>
  <c r="N10" i="23" s="1"/>
  <c r="N429" i="23" s="1"/>
  <c r="M26" i="23"/>
  <c r="J26" i="23"/>
  <c r="R25" i="23"/>
  <c r="R10" i="23" s="1"/>
  <c r="R429" i="23" s="1"/>
  <c r="E12" i="23"/>
  <c r="E159" i="23"/>
  <c r="F159" i="23" s="1"/>
  <c r="H389" i="23"/>
  <c r="H121" i="23"/>
  <c r="F355" i="23"/>
  <c r="F358" i="23"/>
  <c r="E330" i="23"/>
  <c r="F330" i="23" s="1"/>
  <c r="F332" i="23"/>
  <c r="F325" i="23"/>
  <c r="F326" i="23"/>
  <c r="E299" i="23"/>
  <c r="F299" i="23" s="1"/>
  <c r="F301" i="23"/>
  <c r="E286" i="23"/>
  <c r="F286" i="23" s="1"/>
  <c r="F288" i="23"/>
  <c r="F227" i="23"/>
  <c r="F144" i="23"/>
  <c r="F149" i="23"/>
  <c r="E364" i="23"/>
  <c r="F364" i="23" s="1"/>
  <c r="F366" i="23"/>
  <c r="E278" i="23"/>
  <c r="F278" i="23" s="1"/>
  <c r="F281" i="23"/>
  <c r="E267" i="23"/>
  <c r="F267" i="23" s="1"/>
  <c r="F268" i="23"/>
  <c r="E421" i="23"/>
  <c r="G420" i="23"/>
  <c r="G419" i="23" s="1"/>
  <c r="E73" i="23"/>
  <c r="E64" i="23" s="1"/>
  <c r="F74" i="23"/>
  <c r="E423" i="23"/>
  <c r="F423" i="23" s="1"/>
  <c r="F424" i="23"/>
  <c r="L163" i="23"/>
  <c r="L81" i="23" s="1"/>
  <c r="L25" i="23" s="1"/>
  <c r="L10" i="23" s="1"/>
  <c r="L429" i="23" s="1"/>
  <c r="E274" i="23"/>
  <c r="F274" i="23" s="1"/>
  <c r="F276" i="23"/>
  <c r="E61" i="23"/>
  <c r="F61" i="23" s="1"/>
  <c r="F62" i="23"/>
  <c r="H140" i="23"/>
  <c r="G140" i="23"/>
  <c r="H304" i="23"/>
  <c r="E310" i="23"/>
  <c r="F310" i="23" s="1"/>
  <c r="F311" i="23"/>
  <c r="J75" i="25"/>
  <c r="L75" i="25"/>
  <c r="H12" i="25"/>
  <c r="H11" i="25" s="1"/>
  <c r="U75" i="25"/>
  <c r="P12" i="25"/>
  <c r="P11" i="25" s="1"/>
  <c r="C60" i="25"/>
  <c r="I25" i="23"/>
  <c r="I10" i="23" s="1"/>
  <c r="I429" i="23" s="1"/>
  <c r="E416" i="23"/>
  <c r="G415" i="23"/>
  <c r="E315" i="23"/>
  <c r="F315" i="23" s="1"/>
  <c r="H43" i="23"/>
  <c r="C8" i="29"/>
  <c r="H7" i="16"/>
  <c r="G30" i="23"/>
  <c r="H29" i="23"/>
  <c r="H28" i="23" s="1"/>
  <c r="H27" i="23" s="1"/>
  <c r="E34" i="23"/>
  <c r="F34" i="23" s="1"/>
  <c r="H85" i="23"/>
  <c r="E122" i="23"/>
  <c r="F122" i="23" s="1"/>
  <c r="AA12" i="25"/>
  <c r="AA11" i="25" s="1"/>
  <c r="D12" i="25"/>
  <c r="D11" i="25" s="1"/>
  <c r="P75" i="25"/>
  <c r="H75" i="25"/>
  <c r="E132" i="23"/>
  <c r="F132" i="23" s="1"/>
  <c r="Y12" i="25"/>
  <c r="Y11" i="25" s="1"/>
  <c r="G12" i="25"/>
  <c r="G11" i="25" s="1"/>
  <c r="R12" i="25"/>
  <c r="R11" i="25" s="1"/>
  <c r="R8" i="25" s="1"/>
  <c r="W12" i="25"/>
  <c r="W11" i="25" s="1"/>
  <c r="F12" i="25"/>
  <c r="N12" i="25"/>
  <c r="N11" i="25" s="1"/>
  <c r="J12" i="25"/>
  <c r="J11" i="25" s="1"/>
  <c r="C72" i="25"/>
  <c r="H166" i="23"/>
  <c r="H165" i="23" s="1"/>
  <c r="G324" i="23"/>
  <c r="K163" i="23"/>
  <c r="K81" i="23" s="1"/>
  <c r="K25" i="23" s="1"/>
  <c r="K10" i="23" s="1"/>
  <c r="K429" i="23" s="1"/>
  <c r="H293" i="23"/>
  <c r="C81" i="23"/>
  <c r="C25" i="23" s="1"/>
  <c r="C10" i="23" s="1"/>
  <c r="C429" i="23" s="1"/>
  <c r="E394" i="23"/>
  <c r="F394" i="23" s="1"/>
  <c r="G390" i="23"/>
  <c r="E340" i="23"/>
  <c r="G338" i="23"/>
  <c r="G337" i="23" s="1"/>
  <c r="H197" i="23"/>
  <c r="E171" i="23"/>
  <c r="F171" i="23" s="1"/>
  <c r="G169" i="23"/>
  <c r="G167" i="23" s="1"/>
  <c r="E220" i="23"/>
  <c r="G216" i="23"/>
  <c r="E242" i="23"/>
  <c r="G234" i="23"/>
  <c r="E265" i="23"/>
  <c r="G259" i="23"/>
  <c r="G258" i="23" s="1"/>
  <c r="E294" i="23"/>
  <c r="G294" i="23"/>
  <c r="G293" i="23" s="1"/>
  <c r="G305" i="23"/>
  <c r="G304" i="23" s="1"/>
  <c r="E379" i="23"/>
  <c r="F379" i="23" s="1"/>
  <c r="G379" i="23"/>
  <c r="E408" i="23"/>
  <c r="G400" i="23"/>
  <c r="E354" i="23"/>
  <c r="G347" i="23"/>
  <c r="E87" i="23"/>
  <c r="E247" i="23"/>
  <c r="G245" i="23"/>
  <c r="E48" i="23"/>
  <c r="G44" i="23"/>
  <c r="E180" i="23"/>
  <c r="E373" i="23"/>
  <c r="G371" i="23"/>
  <c r="N75" i="25"/>
  <c r="Y75" i="25"/>
  <c r="G121" i="23"/>
  <c r="G164" i="23"/>
  <c r="E168" i="23"/>
  <c r="F168" i="23" s="1"/>
  <c r="W75" i="25"/>
  <c r="E55" i="23"/>
  <c r="E18" i="23"/>
  <c r="F18" i="23" s="1"/>
  <c r="G15" i="23"/>
  <c r="E195" i="23"/>
  <c r="G194" i="23"/>
  <c r="E253" i="23"/>
  <c r="G252" i="23"/>
  <c r="AA75" i="25"/>
  <c r="H9" i="6" l="1"/>
  <c r="E65" i="23"/>
  <c r="F101" i="23"/>
  <c r="F99" i="23" s="1"/>
  <c r="E99" i="23"/>
  <c r="E324" i="23"/>
  <c r="F179" i="23"/>
  <c r="E178" i="23"/>
  <c r="E140" i="23"/>
  <c r="F140" i="23" s="1"/>
  <c r="F87" i="23"/>
  <c r="F86" i="23" s="1"/>
  <c r="E86" i="23"/>
  <c r="J25" i="23"/>
  <c r="J10" i="23" s="1"/>
  <c r="J429" i="23" s="1"/>
  <c r="M25" i="23"/>
  <c r="F324" i="23"/>
  <c r="F12" i="23"/>
  <c r="E400" i="23"/>
  <c r="F400" i="23" s="1"/>
  <c r="F408" i="23"/>
  <c r="E259" i="23"/>
  <c r="F265" i="23"/>
  <c r="E54" i="23"/>
  <c r="F54" i="23" s="1"/>
  <c r="F55" i="23"/>
  <c r="E347" i="23"/>
  <c r="F347" i="23" s="1"/>
  <c r="F354" i="23"/>
  <c r="E293" i="23"/>
  <c r="F293" i="23" s="1"/>
  <c r="F294" i="23"/>
  <c r="E234" i="23"/>
  <c r="F234" i="23" s="1"/>
  <c r="F242" i="23"/>
  <c r="E338" i="23"/>
  <c r="F340" i="23"/>
  <c r="E194" i="23"/>
  <c r="F194" i="23" s="1"/>
  <c r="F195" i="23"/>
  <c r="F180" i="23"/>
  <c r="E245" i="23"/>
  <c r="F245" i="23" s="1"/>
  <c r="F247" i="23"/>
  <c r="H257" i="23"/>
  <c r="H163" i="23" s="1"/>
  <c r="H81" i="23" s="1"/>
  <c r="E415" i="23"/>
  <c r="F415" i="23" s="1"/>
  <c r="F416" i="23"/>
  <c r="F73" i="23"/>
  <c r="F64" i="23" s="1"/>
  <c r="E305" i="23"/>
  <c r="E216" i="23"/>
  <c r="F216" i="23" s="1"/>
  <c r="F220" i="23"/>
  <c r="E252" i="23"/>
  <c r="F252" i="23" s="1"/>
  <c r="F253" i="23"/>
  <c r="E371" i="23"/>
  <c r="F371" i="23" s="1"/>
  <c r="F373" i="23"/>
  <c r="E44" i="23"/>
  <c r="F44" i="23" s="1"/>
  <c r="F48" i="23"/>
  <c r="F421" i="23"/>
  <c r="E420" i="23"/>
  <c r="M8" i="25"/>
  <c r="M7" i="25" s="1"/>
  <c r="G8" i="25"/>
  <c r="G7" i="25" s="1"/>
  <c r="H26" i="23"/>
  <c r="E121" i="23"/>
  <c r="F121" i="23" s="1"/>
  <c r="C7" i="29"/>
  <c r="E15" i="23"/>
  <c r="E30" i="23"/>
  <c r="F30" i="23" s="1"/>
  <c r="E390" i="23"/>
  <c r="E164" i="23"/>
  <c r="F164" i="23" s="1"/>
  <c r="P8" i="25"/>
  <c r="P7" i="25" s="1"/>
  <c r="Q8" i="25"/>
  <c r="Q7" i="25" s="1"/>
  <c r="I8" i="25"/>
  <c r="I7" i="25" s="1"/>
  <c r="L8" i="25"/>
  <c r="L7" i="25" s="1"/>
  <c r="AA8" i="25"/>
  <c r="AA7" i="25" s="1"/>
  <c r="Y8" i="25"/>
  <c r="Y7" i="25" s="1"/>
  <c r="U8" i="25"/>
  <c r="U7" i="25" s="1"/>
  <c r="N8" i="25"/>
  <c r="N7" i="25" s="1"/>
  <c r="J8" i="25"/>
  <c r="J7" i="25" s="1"/>
  <c r="H8" i="25"/>
  <c r="H7" i="25" s="1"/>
  <c r="G197" i="23"/>
  <c r="G389" i="23"/>
  <c r="R7" i="25"/>
  <c r="F11" i="25"/>
  <c r="W8" i="25"/>
  <c r="W7" i="25" s="1"/>
  <c r="E169" i="23"/>
  <c r="G13" i="23"/>
  <c r="G11" i="23" s="1"/>
  <c r="S8" i="25"/>
  <c r="S7" i="25" s="1"/>
  <c r="K8" i="25"/>
  <c r="K7" i="25" s="1"/>
  <c r="X8" i="25"/>
  <c r="X7" i="25" s="1"/>
  <c r="V8" i="25"/>
  <c r="V7" i="25" s="1"/>
  <c r="G257" i="23"/>
  <c r="G43" i="23"/>
  <c r="G166" i="23"/>
  <c r="G165" i="23" s="1"/>
  <c r="AB8" i="25"/>
  <c r="AB7" i="25" s="1"/>
  <c r="Z7" i="25"/>
  <c r="O8" i="25"/>
  <c r="O7" i="25" s="1"/>
  <c r="F15" i="23" l="1"/>
  <c r="E13" i="23"/>
  <c r="F65" i="23"/>
  <c r="F178" i="23"/>
  <c r="H25" i="23"/>
  <c r="E197" i="23"/>
  <c r="F197" i="23" s="1"/>
  <c r="E389" i="23"/>
  <c r="F389" i="23" s="1"/>
  <c r="F390" i="23"/>
  <c r="E85" i="23"/>
  <c r="F85" i="23" s="1"/>
  <c r="E43" i="23"/>
  <c r="F43" i="23" s="1"/>
  <c r="E258" i="23"/>
  <c r="F259" i="23"/>
  <c r="E304" i="23"/>
  <c r="F304" i="23" s="1"/>
  <c r="F305" i="23"/>
  <c r="E167" i="23"/>
  <c r="F169" i="23"/>
  <c r="E419" i="23"/>
  <c r="F419" i="23" s="1"/>
  <c r="F420" i="23"/>
  <c r="E337" i="23"/>
  <c r="F337" i="23" s="1"/>
  <c r="F338" i="23"/>
  <c r="E11" i="23"/>
  <c r="F75" i="25"/>
  <c r="D75" i="25"/>
  <c r="D8" i="25" s="1"/>
  <c r="D7" i="25" s="1"/>
  <c r="C12" i="25"/>
  <c r="C11" i="25" s="1"/>
  <c r="G163" i="23"/>
  <c r="E166" i="23" l="1"/>
  <c r="F167" i="23"/>
  <c r="F258" i="23"/>
  <c r="E257" i="23"/>
  <c r="F257" i="23" s="1"/>
  <c r="F13" i="23"/>
  <c r="F11" i="23" s="1"/>
  <c r="F8" i="25"/>
  <c r="F7" i="25" s="1"/>
  <c r="C75" i="25"/>
  <c r="G81" i="23"/>
  <c r="F166" i="23" l="1"/>
  <c r="E165" i="23"/>
  <c r="C8" i="25"/>
  <c r="C7" i="25" s="1"/>
  <c r="O418" i="23"/>
  <c r="E163" i="23" l="1"/>
  <c r="F165" i="23"/>
  <c r="P38" i="23"/>
  <c r="G39" i="23"/>
  <c r="F163" i="23" l="1"/>
  <c r="E81" i="23"/>
  <c r="F81" i="23" s="1"/>
  <c r="P33" i="23"/>
  <c r="P29" i="23" s="1"/>
  <c r="E39" i="23"/>
  <c r="F39" i="23" s="1"/>
  <c r="G38" i="23"/>
  <c r="G33" i="23" s="1"/>
  <c r="G29" i="23" s="1"/>
  <c r="P28" i="23" l="1"/>
  <c r="P27" i="23" s="1"/>
  <c r="P26" i="23" s="1"/>
  <c r="P25" i="23" s="1"/>
  <c r="P10" i="23" s="1"/>
  <c r="P429" i="23" s="1"/>
  <c r="E38" i="23"/>
  <c r="E33" i="23" l="1"/>
  <c r="F33" i="23" s="1"/>
  <c r="F38" i="23"/>
  <c r="G28" i="23"/>
  <c r="G27" i="23" s="1"/>
  <c r="E29" i="23" l="1"/>
  <c r="G26" i="23"/>
  <c r="G25" i="23" s="1"/>
  <c r="E28" i="23" l="1"/>
  <c r="F28" i="23" s="1"/>
  <c r="F29" i="23"/>
  <c r="E27" i="23" l="1"/>
  <c r="E26" i="23" l="1"/>
  <c r="F27" i="23"/>
  <c r="O10" i="23"/>
  <c r="O429" i="23" s="1"/>
  <c r="M418" i="23"/>
  <c r="M10" i="23" s="1"/>
  <c r="M429" i="23" s="1"/>
  <c r="F26" i="23" l="1"/>
  <c r="E25" i="23"/>
  <c r="F25" i="23" s="1"/>
  <c r="H418" i="23"/>
  <c r="G418" i="23" s="1"/>
  <c r="E418" i="23" s="1"/>
  <c r="F418" i="23" s="1"/>
  <c r="H10" i="23" l="1"/>
  <c r="H429" i="23" s="1"/>
  <c r="G10" i="23"/>
  <c r="G429" i="23" s="1"/>
  <c r="E10" i="23"/>
  <c r="C3" i="25" l="1"/>
  <c r="E429" i="23"/>
  <c r="F10" i="23"/>
  <c r="F429" i="23" s="1"/>
  <c r="E432" i="23" l="1"/>
</calcChain>
</file>

<file path=xl/comments1.xml><?xml version="1.0" encoding="utf-8"?>
<comments xmlns="http://schemas.openxmlformats.org/spreadsheetml/2006/main">
  <authors>
    <author>AutoBVT</author>
  </authors>
  <commentList>
    <comment ref="B385" authorId="0">
      <text>
        <r>
          <rPr>
            <b/>
            <sz val="9"/>
            <color indexed="81"/>
            <rFont val="Tahoma"/>
            <family val="2"/>
            <charset val="163"/>
          </rPr>
          <t>AutoBVT:</t>
        </r>
        <r>
          <rPr>
            <sz val="9"/>
            <color indexed="81"/>
            <rFont val="Tahoma"/>
            <family val="2"/>
            <charset val="163"/>
          </rPr>
          <t xml:space="preserve">
</t>
        </r>
      </text>
    </comment>
  </commentList>
</comments>
</file>

<file path=xl/sharedStrings.xml><?xml version="1.0" encoding="utf-8"?>
<sst xmlns="http://schemas.openxmlformats.org/spreadsheetml/2006/main" count="1936" uniqueCount="944">
  <si>
    <t>UBND HUYỆN SA THẦY</t>
  </si>
  <si>
    <t>Mẫu biểu số 01/TT342</t>
  </si>
  <si>
    <t>TỔNG HỢP DỰ TOÁN THU NGÂN SÁCH NHÀ NƯỚC NĂM 2022</t>
  </si>
  <si>
    <t>Đơn vị: Triệu đồng</t>
  </si>
  <si>
    <t>STT</t>
  </si>
  <si>
    <t>Nội dung</t>
  </si>
  <si>
    <t>Thực hiện năm 2020</t>
  </si>
  <si>
    <t>Năm 2021</t>
  </si>
  <si>
    <t>Dự toán năm 2022</t>
  </si>
  <si>
    <t>Dự toán</t>
  </si>
  <si>
    <t>Ước thực hiện</t>
  </si>
  <si>
    <t>A</t>
  </si>
  <si>
    <t>B</t>
  </si>
  <si>
    <t>TỔNG THU NSNN</t>
  </si>
  <si>
    <t>I</t>
  </si>
  <si>
    <t>Thu nội địa</t>
  </si>
  <si>
    <t>Thu từ khu vực doanh nghiệp nhà nước</t>
  </si>
  <si>
    <t>1.1</t>
  </si>
  <si>
    <t>Thu từ khu vực doanh nghiệp nhà nước do Trung ương quản lý</t>
  </si>
  <si>
    <t>- Thuế giá trị gia tăng</t>
  </si>
  <si>
    <t>Trong đó: Thu từ hoạt động thăm dò, khai thác dầu, khí</t>
  </si>
  <si>
    <t>- Thuế thu nhập doanh nghiệp</t>
  </si>
  <si>
    <t>- Thuế tiêu thụ đặc biệt hàng hóa, dịch vụ trong nước</t>
  </si>
  <si>
    <t>Trong đó: Thu từ hàng hóa nhập khẩu do cơ sở kinh doanh nhập khẩu tiếp tục bán ra trong nước</t>
  </si>
  <si>
    <t>- Thuế tài nguyên</t>
  </si>
  <si>
    <t>Trong đó: Thuế tài nguyên dầu, khí</t>
  </si>
  <si>
    <t>1.2.</t>
  </si>
  <si>
    <t>Thu từ khu vực doanh nghiệp Nhà nước do địa phương quản lý</t>
  </si>
  <si>
    <t>Thu từ khu vực doanh nghiệp có vốn đầu từ nước ngoài</t>
  </si>
  <si>
    <t>Trong đó: Thu từ hoạt động thăm dò và khai thác dầu, khí</t>
  </si>
  <si>
    <t>- Thu từ khí thiên nhiên</t>
  </si>
  <si>
    <t>- Thuế tiêu thụ đặc biệt</t>
  </si>
  <si>
    <t>- Tiền thuê mặt đất, mặt nước, mặt biển</t>
  </si>
  <si>
    <t>Thu từ khu vực kinh tế ngoài quốc doanh</t>
  </si>
  <si>
    <t>Thuế thu nhập cá nhân</t>
  </si>
  <si>
    <t>Thuế bảo vệ môi trường</t>
  </si>
  <si>
    <t>Trong đó: - Thu từ hàng hóa nhập khẩu</t>
  </si>
  <si>
    <t>- Thu từ hàng hóa sản xuất trong nước</t>
  </si>
  <si>
    <t>Lệ phí trước bạ</t>
  </si>
  <si>
    <t>Các loại phí, lệ phí</t>
  </si>
  <si>
    <t>Phí, lệ phí Trung ương</t>
  </si>
  <si>
    <t xml:space="preserve">Phí, lệ phí tỉnh </t>
  </si>
  <si>
    <t>Phí, lệ phí huyện</t>
  </si>
  <si>
    <t>Phí, lệ phí xã</t>
  </si>
  <si>
    <t>Trong đó: - Phí bảo vệ môi trường đối với khai thác khoáng sản</t>
  </si>
  <si>
    <t>Các khoản thu về tài sản, nhà, mặt đất, mặt nước, mặt biển</t>
  </si>
  <si>
    <t>- Thuế sử dụng đất nông nghiệp</t>
  </si>
  <si>
    <t>- Thuế sử dụng đất phi nông nghiệp</t>
  </si>
  <si>
    <t>- Thu tiền cho thuê đất, thuê mặt nước</t>
  </si>
  <si>
    <t>- Thu tiền sử dụng đất</t>
  </si>
  <si>
    <t>- Thu tiền sử dụng khu vực biển</t>
  </si>
  <si>
    <t>Trong đó: + Thuộc thẩm quyền giao của trung ương</t>
  </si>
  <si>
    <t xml:space="preserve">                + Thuộc thẩm quyền giao của địa phương</t>
  </si>
  <si>
    <t>- Thu từ bán tài sản nhà nước, kể cả thu từ chuyển nhượng quyền sử dụng đất, chuyển mục đích sử dụng đất</t>
  </si>
  <si>
    <t>Trong đó: + Thu do cơ quan, đơn vị, tổ chức thuộc Trung ương quản lý</t>
  </si>
  <si>
    <t>+ Tiền do cơ quan, đơn vị, tổ chức thuộc địa phương quản lý</t>
  </si>
  <si>
    <t>- Thu từ tài sản được xác lập quyền sở hữu của nhà nước sau khi bù đi các chi phí theo quy định</t>
  </si>
  <si>
    <t>Trong đó: + Thu do các cơ quan, đơn vị, tổ chức thuộc trung ương xử lý</t>
  </si>
  <si>
    <t>+ Thu do cơ quan, đơn vị, tổ chức thuộc địa phương xử lý</t>
  </si>
  <si>
    <t>- Thu từ tiền cho thuê và tiền bán nhà ở thuộc sở hữu nhà nước</t>
  </si>
  <si>
    <t>Thu từ hoạt động xổ số kiến thiết</t>
  </si>
  <si>
    <t>Thu khác ngân sách</t>
  </si>
  <si>
    <t>Trong đó: - Thu khác ngân sách trung ương</t>
  </si>
  <si>
    <t>Thu tiền cấp quyền khai thác khoáng sản</t>
  </si>
  <si>
    <t>Trong đó: - Thu từ các mỏ do Trung ương cấp</t>
  </si>
  <si>
    <t>- Thu từ các mỏ do địa phương cấp</t>
  </si>
  <si>
    <t>Thu từ quỹ đất công ích và thu hoa lợi công sản khác</t>
  </si>
  <si>
    <t>Thu cổ tức, lợi nhuận được chia và lợi nhuận sau thuế</t>
  </si>
  <si>
    <t>- Thu từ doanh nghiệp do Trung ương quản lý</t>
  </si>
  <si>
    <t>- Thu từ doanh nghiệp do địa phương quản lý</t>
  </si>
  <si>
    <t>II</t>
  </si>
  <si>
    <t>Thu từ dầu thô</t>
  </si>
  <si>
    <t>.... ngày.... tháng... năm....</t>
  </si>
  <si>
    <t>Thủ trưởng đơn vị</t>
  </si>
  <si>
    <t>(Ký tên, đóng dấu)</t>
  </si>
  <si>
    <t>Mẫu biểu số 02/TT342</t>
  </si>
  <si>
    <t>TỔNG HỢP DỰ TOÁN THU NGÂN SÁCH NHÀ NƯỚC THEO SẮC THUẾ NĂM 2022</t>
  </si>
  <si>
    <t>Dự toán năm 2021</t>
  </si>
  <si>
    <t>Ước thực hiện năm 2021</t>
  </si>
  <si>
    <t>Tổng số</t>
  </si>
  <si>
    <t>Bao gồm</t>
  </si>
  <si>
    <t>Tổng Số</t>
  </si>
  <si>
    <t>Khu vực DNNN</t>
  </si>
  <si>
    <t>khu vực DN có vốn ĐTNN</t>
  </si>
  <si>
    <t>Khu vực kinh tế NQD</t>
  </si>
  <si>
    <t>Thu từ hoạt động XSKT</t>
  </si>
  <si>
    <t>Các khoản thu khác</t>
  </si>
  <si>
    <t>Các khoản thu từ thuế</t>
  </si>
  <si>
    <t>Thuế GTGT thu từ hàng hóa sản xuất kinh doanh trong nước</t>
  </si>
  <si>
    <t>Thuế TTĐB thu từ hàng hóa sản xuất trong nước</t>
  </si>
  <si>
    <t>Thuế BVMT thu từ hàng hóa sản xuất kinh doanh trong nước</t>
  </si>
  <si>
    <t>Thuế thu nhập doanh nghiệp</t>
  </si>
  <si>
    <t>Thuế tài nguyên</t>
  </si>
  <si>
    <t>Các khoản phí, lệ phí</t>
  </si>
  <si>
    <t>III</t>
  </si>
  <si>
    <t>Thu cổ tức, lợi nhuận được chia, lợi nhuận sau thuế, chênh lệch thu, chi của NHNN</t>
  </si>
  <si>
    <t>Thu cổ tức, lợi nhuận được chia, lợi nhuận sau thuế</t>
  </si>
  <si>
    <t>Thu chênh lệch thu, chi của NHNN</t>
  </si>
  <si>
    <t>IV</t>
  </si>
  <si>
    <t>Các khoản thu về nhà đất</t>
  </si>
  <si>
    <t>Thuế sử dụng đất phi nông nghiệp</t>
  </si>
  <si>
    <t>Thuế sử dụng đất nông nghiệp</t>
  </si>
  <si>
    <t>Thu tiền cho thuê đất, mặt nước, mặt biển</t>
  </si>
  <si>
    <t>Thu tiền sử dụng đất</t>
  </si>
  <si>
    <t>Thu tiền cho thuê và tiền bán nhà ở thuộc sở hữu nhà nước</t>
  </si>
  <si>
    <t>V</t>
  </si>
  <si>
    <t>Thu khác</t>
  </si>
  <si>
    <t>Thu cấp quyền khai thác khoáng sản</t>
  </si>
  <si>
    <t>Thu bán tài sản nhà nước</t>
  </si>
  <si>
    <t>Các khoản thu khác còn lại</t>
  </si>
  <si>
    <t>...., ngày ... tháng ... năm ....</t>
  </si>
  <si>
    <t>+</t>
  </si>
  <si>
    <t>Tổng cộng</t>
  </si>
  <si>
    <t>Mẫu biểu số 29.1/TT342</t>
  </si>
  <si>
    <t>CÂN ĐỐI NGÂN SÁCH ĐỊA PHƯƠNG NĂM 2022</t>
  </si>
  <si>
    <t xml:space="preserve">TỔNG THU NSNN TRÊN ĐỊA BÀN </t>
  </si>
  <si>
    <t>Thu từ hoạt động xuất khẩu, nhập khẩu</t>
  </si>
  <si>
    <t>Thu viện trợ không hoàn lại</t>
  </si>
  <si>
    <t xml:space="preserve">TỔNG THU NGÂN SÁCH ĐỊA PHƯƠNG </t>
  </si>
  <si>
    <t xml:space="preserve">Thu NSĐP được hưởng theo phân cấp </t>
  </si>
  <si>
    <t>Các khoản thu NSĐP hưởng 100%</t>
  </si>
  <si>
    <t>Các khoản thu phân chia NSĐP theo tỷ lệ %</t>
  </si>
  <si>
    <t>Thu bổ sung từ ngân sách cấp trên</t>
  </si>
  <si>
    <t>Thu bổ sung cân đối ngân sách</t>
  </si>
  <si>
    <t>Thu bổ sung có mục tiêu</t>
  </si>
  <si>
    <t>Thu từ quỹ dự trữ tài chính</t>
  </si>
  <si>
    <t>Thu kết dư</t>
  </si>
  <si>
    <t>Thu chuyển nguồn từ năm trước chuyển sang</t>
  </si>
  <si>
    <t>VI</t>
  </si>
  <si>
    <t>Thu cấp dưới nộp lên</t>
  </si>
  <si>
    <t>C</t>
  </si>
  <si>
    <t>TỔNG CHI NGÂN SÁCH ĐỊA PHƯƠNG</t>
  </si>
  <si>
    <t>Tổng chi cân đối ngân sách địa phương</t>
  </si>
  <si>
    <t>Chi đầu tư phát triển (1)</t>
  </si>
  <si>
    <t>Chi thường xuyên</t>
  </si>
  <si>
    <t>Chi bổ sung quỹ dự trữ tài chính</t>
  </si>
  <si>
    <t>Dự phòng ngân sách</t>
  </si>
  <si>
    <t>Chi tạo nguồn thực hiện CCTL</t>
  </si>
  <si>
    <t xml:space="preserve">Chi từ nguồn bổ sung có mục tiêu </t>
  </si>
  <si>
    <t>Chi thực hiện các chương trình mục tiêu, nhiệm vụ</t>
  </si>
  <si>
    <t>Chi thực hiện các chế độ, chính sách</t>
  </si>
  <si>
    <t>Chi thực hiện các chương trình mục tiêu quốc gia</t>
  </si>
  <si>
    <t>Chi chuyển nguồn sang năm sau</t>
  </si>
  <si>
    <t>Chi nộp ngân sách cấp trên</t>
  </si>
  <si>
    <t>Mẫu biểu số 31/TT342</t>
  </si>
  <si>
    <t>BIỂU TỔNG HỢP DỰ TOÁN THU NSNN NĂM 2022</t>
  </si>
  <si>
    <t>Thu trên địa bàn</t>
  </si>
  <si>
    <t>Trong đó: Thu do UBND huyện, thành phố trực tiếp tổ chức thực hiện (1)</t>
  </si>
  <si>
    <t>Dự toán thu trên địa bàn</t>
  </si>
  <si>
    <t xml:space="preserve">TỔNG THU NSNN TRÊN ĐỊA BÀN (I+II+III) </t>
  </si>
  <si>
    <t>THU NỘI ĐỊA</t>
  </si>
  <si>
    <t xml:space="preserve">- Thuế giá trị gia tăng </t>
  </si>
  <si>
    <t xml:space="preserve">Trong đó: Thu từ hoạt động thăm dò, khai thác dầu, khí </t>
  </si>
  <si>
    <t xml:space="preserve">- Thuế thu nhập doanh nghiệp </t>
  </si>
  <si>
    <t xml:space="preserve">Trong đó: Thu từ cơ sở kinh doanh nhập khẩu tiếp tục bán ra trong nước </t>
  </si>
  <si>
    <t xml:space="preserve">Trong đó: Thuế tài nguyên dầu, khí </t>
  </si>
  <si>
    <t>Thu từ khu vực doanh nghiệp nhà nước do địa phương quản lý</t>
  </si>
  <si>
    <t xml:space="preserve">- Thuế tiêu thụ đặc biệt </t>
  </si>
  <si>
    <t>Trong đó: Thu từ cơ sở kinh doanh nhập khẩu tiếp tục bán ra trong nước</t>
  </si>
  <si>
    <t xml:space="preserve">Thu từ khu vực doanh nghiệp có vốn đầu tư nước ngoài </t>
  </si>
  <si>
    <t xml:space="preserve">Trong đó: Thu từ hoạt động thăm dò và khai thác dầu, khí </t>
  </si>
  <si>
    <t xml:space="preserve">- Thu từ khí thiên nhiên </t>
  </si>
  <si>
    <t>Trong đó: - Thu từ cơ sở kinh doanh nhập khẩu tiếp tục bán ra trong nước</t>
  </si>
  <si>
    <t>- Tiền thuê mặt đất, mặt nước</t>
  </si>
  <si>
    <t>Phí, lệ phí</t>
  </si>
  <si>
    <t>Bao gồm: - Phí, lệ phí do cơ quan nhà nước trung ương thu</t>
  </si>
  <si>
    <t>- Phí, lệ phí do cơ quan nhà nước địa phương thu</t>
  </si>
  <si>
    <t>Trong đó: phí bảo vệ môi trường đối với khai thác khoáng sản</t>
  </si>
  <si>
    <t>Tiền sử dụng đất</t>
  </si>
  <si>
    <t>Trong đó: - Thu do cơ quan, tổ chức, đơn vị thuộc Trung ương quản lý</t>
  </si>
  <si>
    <t>- Thu do cơ quan, tổ chức, đơn vị thuộc địa phương quản lý</t>
  </si>
  <si>
    <t>12</t>
  </si>
  <si>
    <t>Thu tiền thuê đất, mặt nước</t>
  </si>
  <si>
    <t>Thu tiền sử dụng khu vực biển</t>
  </si>
  <si>
    <t>Trong đó: - Thuộc thẩm quyền giao của trung ương</t>
  </si>
  <si>
    <t>- Thuộc thẩm quyền giao của địa phương</t>
  </si>
  <si>
    <t>Thu từ bán tài sản nhà nước</t>
  </si>
  <si>
    <t>Trong đó: - Do trung ương quản lý</t>
  </si>
  <si>
    <t xml:space="preserve">                - Do địa phương quản lý</t>
  </si>
  <si>
    <t>Thu từ tài sản được xác lập quyền sở hữu của nhà nước</t>
  </si>
  <si>
    <t>Trong đó: - Do trung ương xử lý</t>
  </si>
  <si>
    <t xml:space="preserve">                - Do địa phương xử lý</t>
  </si>
  <si>
    <t>Thu tiền cho thuê và bán nhà ở thuộc sở hữu nhà nước</t>
  </si>
  <si>
    <t>Trong đó: - Giấy phép do Trung ương cấp</t>
  </si>
  <si>
    <t>- Giấy phép do Ủy ban nhân dân cấp tỉnh cấp</t>
  </si>
  <si>
    <t>Thu cổ tức và lợi nhuận sau thuế (địa phương hưởng 100%)</t>
  </si>
  <si>
    <t>Thu từ hoạt động xổ số kiến thiết (kể cả hoạt động xổ số điện toán)</t>
  </si>
  <si>
    <t>THU TỪ DẦU THÔ</t>
  </si>
  <si>
    <t>THU TỪ HOẠT ĐỘNG XUẤT, NHẬP KHẨU</t>
  </si>
  <si>
    <t>Thuế xuất khẩu</t>
  </si>
  <si>
    <t>Thuế nhập khẩu</t>
  </si>
  <si>
    <t>Thuế tiêu thụ đặc biệt</t>
  </si>
  <si>
    <t>Thuế giá trị gia tăng</t>
  </si>
  <si>
    <t>Mẫu biểu số 32/TT342</t>
  </si>
  <si>
    <t>TỔNG CHI NGÂN SÁCH ĐỊA PHƯƠNG QUẢN LÝ (I+II)</t>
  </si>
  <si>
    <t>CHI CÂN ĐỐI NGÂN SÁCH ĐỊA PHƯƠNG</t>
  </si>
  <si>
    <t>Trong đó: Chi cân đối ngân sách địa phương tính tỷ lệ điều tiết, số bổ sung cân đối từ ngân sách trung ương cho ngân sách địa phương (1)</t>
  </si>
  <si>
    <t>Chi đầu tư phát triển</t>
  </si>
  <si>
    <t>Chi đầu tư và hỗ trợ vốn cho các doanh nghiệp cung cấp sản phẩm, dịch vụ công ích do Nhà nước đặt hàng, các tổ chức kinh tế, các tổ chức tài chính của địa phương theo quy định của pháp luật</t>
  </si>
  <si>
    <t>1.2</t>
  </si>
  <si>
    <t>Chi đầu tư phát triển còn lại (1-1.1)</t>
  </si>
  <si>
    <t>Trong đó:</t>
  </si>
  <si>
    <t>1.2.1</t>
  </si>
  <si>
    <t>Chi đầu tư phát triển của các dự án phân theo nguồn vốn</t>
  </si>
  <si>
    <t>a</t>
  </si>
  <si>
    <t>Chi đầu tư XDCB vốn trong nước</t>
  </si>
  <si>
    <t>b</t>
  </si>
  <si>
    <t>Chi đầu tư từ nguồn thu tiền sử dụng đất</t>
  </si>
  <si>
    <t>c</t>
  </si>
  <si>
    <t>d</t>
  </si>
  <si>
    <t>1.2.2</t>
  </si>
  <si>
    <t>Chi đầu tư phát triển phân theo lĩnh vực</t>
  </si>
  <si>
    <t>Chi giáo dục - đào tạo và dạy nghề</t>
  </si>
  <si>
    <t>Chi khoa học và công nghệ</t>
  </si>
  <si>
    <t>Chi quốc phòng</t>
  </si>
  <si>
    <t>Chi an ninh</t>
  </si>
  <si>
    <t>e</t>
  </si>
  <si>
    <t>g</t>
  </si>
  <si>
    <t>h</t>
  </si>
  <si>
    <t>i</t>
  </si>
  <si>
    <t>k</t>
  </si>
  <si>
    <t>Chi hoạt động kinh tế</t>
  </si>
  <si>
    <t>l</t>
  </si>
  <si>
    <t>Chi hoạt động quản lý nhà nước, Đảng, đoàn thể</t>
  </si>
  <si>
    <t>m</t>
  </si>
  <si>
    <t>Chi bảo đảm xã hội</t>
  </si>
  <si>
    <t>n</t>
  </si>
  <si>
    <t>Chi khác</t>
  </si>
  <si>
    <t>Chi sự nghiệp y tế, dân số và gia đình</t>
  </si>
  <si>
    <t>Chi sự nghiệp văn hóa thông tin</t>
  </si>
  <si>
    <t>Chi sự nghiệp phát thanh, truyền hình</t>
  </si>
  <si>
    <t>Chi sự nghiệp thể dục thể thao</t>
  </si>
  <si>
    <t>Chi sự nghiệp bảo vệ môi trường</t>
  </si>
  <si>
    <t>Chi tạo nguồn cải cách tiền lương</t>
  </si>
  <si>
    <t>Chi đầu tư thực hiện các chương trình mục tiêu, nhiệm vụ khác</t>
  </si>
  <si>
    <t>Chi từ nguồn hỗ trợ thực hiện các chế độ, chính sách theo quy định</t>
  </si>
  <si>
    <t>CHI CHUYỂN NGUỒN SANG NĂM SAU CỦA NGÂN SÁCH ĐỊA PHƯƠNG</t>
  </si>
  <si>
    <t>HUYỆN SA THẦY</t>
  </si>
  <si>
    <t>NỘI DUNG</t>
  </si>
  <si>
    <t>Mã nhiệm vụ chi</t>
  </si>
  <si>
    <t xml:space="preserve">
Chi cân đối</t>
  </si>
  <si>
    <t>Chi bổ 
sung có mục tiêu</t>
  </si>
  <si>
    <t>Ghi chú</t>
  </si>
  <si>
    <t>Tổng chi hoạt 
động bộ máy</t>
  </si>
  <si>
    <t>Chi hoạt 
động sự nghiệp</t>
  </si>
  <si>
    <t>Dự toán 
chi đầu tư xây dựng</t>
  </si>
  <si>
    <t>Qũy tiền
 lương</t>
  </si>
  <si>
    <t>Trong đó;</t>
  </si>
  <si>
    <t>Dự toán 
chi thường xuyên</t>
  </si>
  <si>
    <t>Tiền lương
 1,21 trđ</t>
  </si>
  <si>
    <t>Bổ sung thực hiện Cải cách tiền lương</t>
  </si>
  <si>
    <t>Chi hoạt động thường xuyên theo định mức</t>
  </si>
  <si>
    <t>Chi nhiệm
 vụ đặc thù, đột xuất</t>
  </si>
  <si>
    <t>TỔNG CHI CÂN ĐỐI</t>
  </si>
  <si>
    <t>CHI ĐẦU TƯ PHÁT TRIỂN</t>
  </si>
  <si>
    <t>Chi đầu tư XDCB tập trung phân cấp NS huyện</t>
  </si>
  <si>
    <t>Chi từ nguồn thu sử dụng đất</t>
  </si>
  <si>
    <t>-</t>
  </si>
  <si>
    <t>Đầu tư cơ sở hạ tầng</t>
  </si>
  <si>
    <t xml:space="preserve"> 10% Thu tiền sử dụng đất để thực hiện công tác quy hoạch, đo đạc, đăng ký QLĐĐ, cấp giấy chứng nhận</t>
  </si>
  <si>
    <t>Cơ quan chuyên môn tham mưu phân bổ chi tiết</t>
  </si>
  <si>
    <t>Chi nguồn thu xổ số Kiến thiết: Ưu tiên Công trình Gíáo dục-ĐT thực hiện CTMTQG xây dựng NTM)</t>
  </si>
  <si>
    <t>Ban quản lý dự án ĐTXD</t>
  </si>
  <si>
    <t>Hỗ trợ đầu tư xây dựng NTM</t>
  </si>
  <si>
    <t>Phòng Lao động TBXH</t>
  </si>
  <si>
    <t xml:space="preserve"> CHI THƯỜNG XUYÊN</t>
  </si>
  <si>
    <t>Chi sự nghiệp Giáo dục- Đào tạo</t>
  </si>
  <si>
    <t xml:space="preserve"> Chi sự nghiệp giáo dục</t>
  </si>
  <si>
    <t>Phòng Giáo dục và Đào tạo</t>
  </si>
  <si>
    <t>a.1</t>
  </si>
  <si>
    <t xml:space="preserve"> Chi cân đối: </t>
  </si>
  <si>
    <t>Phòng giáo dục và ĐT phân bổ chi tiết</t>
  </si>
  <si>
    <t>Chi tiền lương, các khoản có tính chất như lương và hoạt động thường xuyên chuyên môn ngành</t>
  </si>
  <si>
    <t xml:space="preserve"> Học sinh bán trú và PTDT bán trú theo NĐ 116/2016/CP</t>
  </si>
  <si>
    <t>a.2</t>
  </si>
  <si>
    <t>Tăng cường cơ sở vật chất, trang thiết bị dạy học và sự nghiệp giáo dục khác…</t>
  </si>
  <si>
    <t>Kinh phí thực hiện chính sách quy định tại Nghị định số 105/2020/NĐ-CP chính sách phát triển giáo viên mầm non</t>
  </si>
  <si>
    <t>Hỗ trợ học sinh dân tộc rất ít người Theo NĐ 57/2017/NĐCP</t>
  </si>
  <si>
    <t>Hỗ trợ học sinh khuyết tật ( Học bổng và đồ dùng dạy học theo Thông tư Liên tịch số 42/2013/TTLT-BGDĐT-BLĐTBXH-BTC)</t>
  </si>
  <si>
    <t>++</t>
  </si>
  <si>
    <t>Cấp bù miễn giảm học phí; Hỗ trợ chi phí học tập</t>
  </si>
  <si>
    <t>Phòng Lao động TB&amp;XH</t>
  </si>
  <si>
    <t>Hỗ trợ chi phí học tập</t>
  </si>
  <si>
    <t>Hỗ trợ chi phí học tập cho  sinh viên là người đồng bào dân tộc thiểu số nghèo và cận nghèo theo QĐ 66/TTg</t>
  </si>
  <si>
    <t xml:space="preserve">  Sự nghiệp đào tạo và dạy nghề</t>
  </si>
  <si>
    <t>Trung tâm bồi dưỡng chính trị</t>
  </si>
  <si>
    <t>Phụ cấp cấp ủy viên ( 01 người UV chi bộ cơ sở)</t>
  </si>
  <si>
    <t xml:space="preserve">Hỗ trợ chi bộ cơ sở theoQĐ số 99-QĐ/TW ngày 30/5/2012/của BCH </t>
  </si>
  <si>
    <t>Chi mở  các lớp đào tạo, bồi dưỡng theo kế hoạch phê duyệt</t>
  </si>
  <si>
    <t>Trung tâm Giáo dục  nghề nghiệp- Giáo dục thường xuyên</t>
  </si>
  <si>
    <t>Trung tâm GD NN- GD TX</t>
  </si>
  <si>
    <t>Phụ cấp cấp ủy viên ( 02 người UV chi bộ cơ sở)</t>
  </si>
  <si>
    <t>Hỗ trợ chi bộ cơ sở theoQĐ số 99-QĐ/TW ngày 30/5/2012 của BCH TƯ</t>
  </si>
  <si>
    <t>Hỗ trợ Đại hội Chi bộ cơ sở theo QĐ số 99-QĐ/TW ngày 30/5/2012 của BCH TƯ</t>
  </si>
  <si>
    <t>Sự nghiệp Khoa học và công nghệ</t>
  </si>
  <si>
    <t>Phòng kinh tế hạ tầng</t>
  </si>
  <si>
    <t>Chi tập huấn ứng dụng, chuyển giao công nghệ; QLNN trong lĩnh vực KH-CN</t>
  </si>
  <si>
    <t>Chi thực hiện ứng dụng, chuyển giao công nghệ</t>
  </si>
  <si>
    <t>Sự nghiệp môi trường</t>
  </si>
  <si>
    <t>*</t>
  </si>
  <si>
    <t>Trung tâm Môi trường và Dịch vụ đô thị</t>
  </si>
  <si>
    <t xml:space="preserve"> Chi hoạt động bộ máy QLNN (03 B/c) </t>
  </si>
  <si>
    <t>Trung tâm môi trường dịch vụ đô thị</t>
  </si>
  <si>
    <t>Tiền lương ngạch bậc 03 biên chế CBQL</t>
  </si>
  <si>
    <t>Chi khác theo định mức 03 người x 18trđ/năm</t>
  </si>
  <si>
    <t>Cập nhật phần mềm kế toán;  phần mềm QL Công sản</t>
  </si>
  <si>
    <t xml:space="preserve"> Chi hoạt động SN dịch vụ công ích</t>
  </si>
  <si>
    <t>Chi công tác quản lý giám sát về tài nguyên môi trường các nhà máy chế biến nông sản và khai thác cát đá sỏi trên địa bàn</t>
  </si>
  <si>
    <t>Phòng Tài nguyên&amp; Môi trường</t>
  </si>
  <si>
    <t>Chi thường xuyên các lĩnh vực hành chính, sự nghiệp khác</t>
  </si>
  <si>
    <t>4.1</t>
  </si>
  <si>
    <t xml:space="preserve">Sự nghiệp Ytế </t>
  </si>
  <si>
    <t>4.2</t>
  </si>
  <si>
    <t xml:space="preserve">Sự nghiệp kinh tế </t>
  </si>
  <si>
    <t>4.2.1</t>
  </si>
  <si>
    <t xml:space="preserve">   Chi SN nông lâm nghiệp</t>
  </si>
  <si>
    <t>Trung tâm dịch vụ nông nghiệp)</t>
  </si>
  <si>
    <t>Trung tâm dịch vụ nông nghiệp</t>
  </si>
  <si>
    <t>Phụ cấp cấp ủy viên (2 người UV chi bộ cơ sở)</t>
  </si>
  <si>
    <t>Hỗ trợ Đại hội Chi bộ cơ sở</t>
  </si>
  <si>
    <t xml:space="preserve"> Tăng cường khuyến nông; Hỗ trợ các xã vùng ngập lòng hồ thuỷ điện Ya Ly và PLeiKrông</t>
  </si>
  <si>
    <t xml:space="preserve"> Kinh phí kiểm soát giết mổ động vật</t>
  </si>
  <si>
    <t xml:space="preserve"> Kinh phí phòng chống dịch bệnh trên cạn và dịch bệnh thủy sản</t>
  </si>
  <si>
    <t>Ban chỉ đạo hợp tác xã bò sữa</t>
  </si>
  <si>
    <t>Chương trình tái cơ cấu kinh tế nông nghiệp và phòng chống giảm nhẹ thiên tai, ổn định đời sống dân cư (Hỗ trợ di dân)</t>
  </si>
  <si>
    <t>Phòng Nông nghiệp NPTNT</t>
  </si>
  <si>
    <t>4.2.2</t>
  </si>
  <si>
    <t xml:space="preserve">  SN giao thông nông thôn, thuỷ lợi </t>
  </si>
  <si>
    <t>Khắc phục, sửa chữa hố ga, hế thống thoát nước , vỉa hè mặt đường Trần Hưng Đạo, đường trường chinh huyện Sa Thầy</t>
  </si>
  <si>
    <t>4.2.3</t>
  </si>
  <si>
    <t xml:space="preserve">  Chi SN kiến thiết thị chính </t>
  </si>
  <si>
    <t>NSNN Đặt hàng:  Dịch vụ chiếu sáng đô thị (Duy trì  trạm đèn, hệ thống điện công lộ, sửa chữa thường xuyên hệ thống điện chiếu sáng)</t>
  </si>
  <si>
    <t>Chi Tiền điện công lộ</t>
  </si>
  <si>
    <t>Chi ban ATGT: trong đó, bao gồm chi phí tiền điện, sủa chữa vận hành đèn báo ATGT</t>
  </si>
  <si>
    <t xml:space="preserve"> Sửa chữa nhà lồng chính TTTM huyện</t>
  </si>
  <si>
    <t>Điều chỉnh quy hoạch chung thị trấn, huyện Sa Thầy</t>
  </si>
  <si>
    <t>Phòng Kinh tế Hạ tầng</t>
  </si>
  <si>
    <t>4.2.4</t>
  </si>
  <si>
    <t xml:space="preserve">  Sự nghiệp kinh tế khác</t>
  </si>
  <si>
    <t>Văn phòng HĐND-UBND</t>
  </si>
  <si>
    <t>4.3</t>
  </si>
  <si>
    <t>Sự nghiệp văn hoá thông tin, thể thao,  du lịch và truyền thông</t>
  </si>
  <si>
    <t>Trung tâm văn hoá thông tin, 
thể thao,  du lịch và truyền thông</t>
  </si>
  <si>
    <t>Sự nghiệp văn hoá thông tin</t>
  </si>
  <si>
    <t xml:space="preserve"> Qũy tiền lương  08 Biên chế + 01 hợp đồng 68</t>
  </si>
  <si>
    <t>Hỗ trợ chi bộ cơ sở theoQĐ số 99-QĐ/TW ngày 30/5/2012/ BCH TƯ</t>
  </si>
  <si>
    <t xml:space="preserve">Chi  hoạt động sự nghiệp </t>
  </si>
  <si>
    <t>Thực hiện Đề án giữ gìn bản sắc văn hóa dân tộc</t>
  </si>
  <si>
    <t xml:space="preserve">Chi hoạt động SN gia đình </t>
  </si>
  <si>
    <t>Phòng Văn hóa_TT</t>
  </si>
  <si>
    <t>TT Văn hóa TT, DL và truyền thông</t>
  </si>
  <si>
    <t xml:space="preserve">Chi sự nghiệp thể thao;  </t>
  </si>
  <si>
    <t>Chi sự nghiệp du lịch và truyền  thông</t>
  </si>
  <si>
    <t>Trđó:- B/chế quỹ tiền lương, và các khoản đóng góp (08  người )</t>
  </si>
  <si>
    <t>Chi trạm phát lại truyền hình</t>
  </si>
  <si>
    <t>Tram phát lại xã vùng lõm ( phối hợp với UBND xã thực hiện)</t>
  </si>
  <si>
    <t>Kinh phí lắp đặt hệ thống truyền thanh không dây Xã Sa Bình, Ya Ly, Rờ Kơi</t>
  </si>
  <si>
    <t>Kinh phí lắp đặt hệ thống âm thanh tuyên truyền</t>
  </si>
  <si>
    <t>4.6</t>
  </si>
  <si>
    <t>Chi đảm bảo xã hội</t>
  </si>
  <si>
    <t>4.6.1</t>
  </si>
  <si>
    <t>Chương trình chăm sóc bảo vệ trẻ em</t>
  </si>
  <si>
    <t xml:space="preserve"> Sự nghiệp Chăm sóc trẻ em </t>
  </si>
  <si>
    <t>4.6.2</t>
  </si>
  <si>
    <t>Chi công tác xã hội</t>
  </si>
  <si>
    <t>Hợp đồng  bảo vệ nghĩa trang huyện 01 người x 3trđ/người/tháng x 12 tháng; Bảo vệ khu di tích, Đài tưởng niệm ChưtanKara 02 người x 03 trđ/th x12th)</t>
  </si>
  <si>
    <t xml:space="preserve">Kinh phí hoạt động tổ chức tù chính trị </t>
  </si>
  <si>
    <t>Chi đảm bảo xã hội khác,</t>
  </si>
  <si>
    <t>Tiền điện ,nước phục vụ Đài tưởng niệm</t>
  </si>
  <si>
    <t>Bảo hiểm y tế Cựu chiến binh trực tiếp tham gia kháng chiến BVTQ làm nhiệm vụ quốc tế Lào, CPC, TNXP</t>
  </si>
  <si>
    <t xml:space="preserve">Kinh phí mua thẻ y tế cho đối tượng bảo trợ xã hội; </t>
  </si>
  <si>
    <t>Dự án phát triển thị trường lao động và việc làm (Cơ sở dữ liệu cung cầu lao đồng; thu thâp thông tin cung cầu lao động)</t>
  </si>
  <si>
    <t>Dự án tăng cường ATLĐ, vệ sinh lao động ( Nâng cao năng lục và hiệu quả quản lý về an toàn vệ sinh lao động)</t>
  </si>
  <si>
    <t>Dự án hỗ trợ thực hiện các mục tiêu quốc gia về bình đẳng giới ( Truyền thông nâng cao nhận thức về bình đẳng giới)</t>
  </si>
  <si>
    <t>Hỗ trợ phụ cấp hàng tháng cho đội ngũ cộng tác viên làm công tác giảm nghèo cấp xã</t>
  </si>
  <si>
    <t>4.6.3</t>
  </si>
  <si>
    <t xml:space="preserve"> Chi thực hiện chính sách 102/TTg</t>
  </si>
  <si>
    <t>4.6.4</t>
  </si>
  <si>
    <t>Kinh phí thực hiện chính sách theo QĐ 253/TTg ; QĐ 18/2011/QĐ-TTg</t>
  </si>
  <si>
    <t xml:space="preserve">Hỗ trợ  người có uy tín trong đồng bào DTTS theo QĐ số 18/2011/QĐ-TTg </t>
  </si>
  <si>
    <t>Phòng Dân tộc</t>
  </si>
  <si>
    <t xml:space="preserve">Hỗ trợ già làng theo Quyết định 253/QĐ-TTg </t>
  </si>
  <si>
    <t>Phòng Nội vụ</t>
  </si>
  <si>
    <t>4.6.5</t>
  </si>
  <si>
    <t xml:space="preserve"> Hỗ trợ  tiền điện hộ nghèo</t>
  </si>
  <si>
    <t>4.7</t>
  </si>
  <si>
    <t>Chi quản lý hành chính</t>
  </si>
  <si>
    <t>4.7.1</t>
  </si>
  <si>
    <t>Kinh phí Đảng</t>
  </si>
  <si>
    <t xml:space="preserve"> Văn phòng Huyện ủy</t>
  </si>
  <si>
    <t>Kinh phí giao tự chủ tài chính</t>
  </si>
  <si>
    <t>Tiền lương biên chế 32 biên chế + 03 CB tăng cường xã</t>
  </si>
  <si>
    <t>UV  Chi bộ cơ sở (2 người)</t>
  </si>
  <si>
    <t>Cho hỗ trợ công tác sau thanh tra</t>
  </si>
  <si>
    <t>a2</t>
  </si>
  <si>
    <t>Kinh phí không giao tự chủ</t>
  </si>
  <si>
    <t>KP đặc thù ngân sách đảng theo QĐ 946-QĐ/TU</t>
  </si>
  <si>
    <t>Chi công tác đặc thù của thường trực</t>
  </si>
  <si>
    <t>KP biên tập văn bản</t>
  </si>
  <si>
    <t xml:space="preserve"> Sửa chữa xe Ôtô </t>
  </si>
  <si>
    <t>4.7.2</t>
  </si>
  <si>
    <t xml:space="preserve">  Kinh phí hoạt động hội đồng nhân dân</t>
  </si>
  <si>
    <t>Sinh hoạt phí đại biểu HĐND huyện( 31 vị)</t>
  </si>
  <si>
    <t>4.7.3</t>
  </si>
  <si>
    <t>Kinh phí Đoàn thể</t>
  </si>
  <si>
    <t xml:space="preserve">  Uỷ ban mặt trận</t>
  </si>
  <si>
    <t>Ủy ban mặt trận huyện</t>
  </si>
  <si>
    <t>Phụ cấp cấp ủy viên (02 người UV chi bộ cơ sở)</t>
  </si>
  <si>
    <t>Hỗ trợ thực hiện cuộc vận động " Toàn dân đoàn kết XDDSVH đô thị văn minh"</t>
  </si>
  <si>
    <t xml:space="preserve"> Hỗ trợ sinh hoạt phí đối với UV UBMTTQ ( theo Quyết định 33/2014/QĐ-TTg)</t>
  </si>
  <si>
    <t>Hỗ trợ đón tiếp, thăm hỏi, chúc mừng với một số đối tượng do UBMT thực hiện ( Theo QĐ 39/2014/QĐ-UBND ngày 21/7/2014)</t>
  </si>
  <si>
    <t>Kinh phí thực hiện Đề án 02-1133 2018//TTg Tiếp tục xây dụng và đẩy mạnh công các tuyên truyền vận động chấp hành Pháp luật trong cộng đồng dân cư năm 2018</t>
  </si>
  <si>
    <t>Hỗ trợ kinh phí về thành phần cốt cán phong trào tôn giáo</t>
  </si>
  <si>
    <t>KP thực hiện cuộc vận động ưu tiên dùng hàng Việt Nam</t>
  </si>
  <si>
    <t>Kinh phí giám sát, phản biện xã hội (TT-BTC số 337/2016)</t>
  </si>
  <si>
    <t>Kinh phí  hoạt động quản lý quỹ vì người nghèo</t>
  </si>
  <si>
    <t xml:space="preserve">  Hội liên hiệp phụ nữ</t>
  </si>
  <si>
    <t>Chi tiền lương bộ máy  (03 người )</t>
  </si>
  <si>
    <t>Giám sát phản biện xã hội theo TT337/2016/TT-BTC</t>
  </si>
  <si>
    <t>Chi tổ chức ngày phụ nữ khởi nghiệp; Tập huấn khởi nghiệp cho Hội viên, phụ nữ có ý tưởng khởi nghiệp; Tổ chức hội thi tuyên truyền An toàn cho phụ nữ và trẻ em</t>
  </si>
  <si>
    <t xml:space="preserve">  Huyện đoàn</t>
  </si>
  <si>
    <t xml:space="preserve">  Hội nông dân</t>
  </si>
  <si>
    <t xml:space="preserve"> Chi hoạt động bộ máy (3 người )</t>
  </si>
  <si>
    <t xml:space="preserve"> Phụ cấp cấp ủy viên (1  người UV chi bộ cơ sở)</t>
  </si>
  <si>
    <t xml:space="preserve">  Cựu chiến binh</t>
  </si>
  <si>
    <t xml:space="preserve"> Chi hoạt động bộ máy (02 người)</t>
  </si>
  <si>
    <t>Hỗ trợ chi bộ cơ sở theo QĐ số 99-QĐ/TW ngày 30/5/2012 của BCH TƯ</t>
  </si>
  <si>
    <t xml:space="preserve">Chi công tác Hội chữ thập đỏ </t>
  </si>
  <si>
    <t>Phòng Y tế</t>
  </si>
  <si>
    <t xml:space="preserve"> Chi hoạt động bộ máy (01 biên chế+ phụ cấp kiêm nhiệm)</t>
  </si>
  <si>
    <t>4.7.4</t>
  </si>
  <si>
    <t>Quản lý Nhà nước</t>
  </si>
  <si>
    <t>Văn phòng HĐND - UBND</t>
  </si>
  <si>
    <t>Kinh phí tự chủ hoạt động bộ máy</t>
  </si>
  <si>
    <t>Cập nhật phần mềm QL công sản</t>
  </si>
  <si>
    <t xml:space="preserve">  Kinh phí chi thường xuyên không tự chủ:</t>
  </si>
  <si>
    <t>Chi xăng xe, phí, lệ phí và bảo hiểm xe và sửa chữa thường xuyên  xe ô tô phục vụ công tác</t>
  </si>
  <si>
    <t>Kinh phí phục vụ công tác đặc thù, đột xuất của huyện</t>
  </si>
  <si>
    <t>Kinh phí trực bộ phận 1 cửa</t>
  </si>
  <si>
    <t xml:space="preserve"> Kinh phí bồi dưỡng tiếp công dân, xử lý đơn thu, khiếu nại, tố cáo, kiến nghị, phản ánh tại các trụ sở tiếp công dân theo quy định tại NĐ 64/2014</t>
  </si>
  <si>
    <t>Duy trì hoạt động trang TTĐT</t>
  </si>
  <si>
    <t>a.3</t>
  </si>
  <si>
    <t>Kinh phí không thường xuyên</t>
  </si>
  <si>
    <t xml:space="preserve"> Sửa chữa xe ô tô </t>
  </si>
  <si>
    <t>Phòng Nông nghiệp và Phát triển nông thôn</t>
  </si>
  <si>
    <t>Phòng Nông nghiệp và PTNT</t>
  </si>
  <si>
    <t xml:space="preserve"> KP hoạt động Ban chỉ đạo phòng chống lụt bão</t>
  </si>
  <si>
    <t>Mua máy vi tính</t>
  </si>
  <si>
    <t>Cập nhật phần mền kế toán</t>
  </si>
  <si>
    <t>Phòng Tài nguyên môi trường</t>
  </si>
  <si>
    <t>Chi hoạt động bộ máy  ( 06 người )</t>
  </si>
  <si>
    <t>Thanh tra huyện</t>
  </si>
  <si>
    <t>d.1</t>
  </si>
  <si>
    <t xml:space="preserve">  Kinh phí tự chủ hoạt động bộ máy</t>
  </si>
  <si>
    <t>Phụ cấp cấp ủy viên (01 người UV chi bộ cơ sở)</t>
  </si>
  <si>
    <t>d.2</t>
  </si>
  <si>
    <t xml:space="preserve">  Kinh phí không giao tự chủ </t>
  </si>
  <si>
    <t>Chi công tác tiếp dân và Hỗ trợ chi  tiếp dân theo NQ 16/2018/HĐNH tỉnh; Xử đơn thư khiếu nại, tố cáo theo Nghị định 64/2014</t>
  </si>
  <si>
    <t>KP tập huấn về tiếp công dân giải quyết đơn thu khiếu nại, tố cáo</t>
  </si>
  <si>
    <t>Mua sắm máy phô tô</t>
  </si>
  <si>
    <t>Phòng Tư pháp</t>
  </si>
  <si>
    <t>e.1</t>
  </si>
  <si>
    <t>Chi hoạt động bộ máy  (03 người )</t>
  </si>
  <si>
    <t>Phụ cấp cấp ủy viên (1 người UV chi bộ cơ sở)</t>
  </si>
  <si>
    <t>e.2</t>
  </si>
  <si>
    <t>Chi công tác tuyên truyền pháp luật, kiểm tra, xử lý, rà soát, hệ thống văn bản quy phạm pháp luật trên địa bàn</t>
  </si>
  <si>
    <t>Hội đồng tư vấn  giải quyết khiếu nại, tố cáo</t>
  </si>
  <si>
    <t>Tạm cấp kinh phí tập huấn số hóa dữ liệu hộ tịch lịch sử vào cơ sở dữ liệu hộ tịch điện tử toàn quốc  theo kế hoạch 155/KH-UBND ngày 12/11/2020</t>
  </si>
  <si>
    <t>Phòng Văn hoá thông tin</t>
  </si>
  <si>
    <t>B/chế quỹ tiền lương và các khoản đóng góp  (3 người )</t>
  </si>
  <si>
    <t>KP hỗ trợ 25 trđ BCĐ 814 và 30 trđ ban chỉ đạo XDDSVHKDC</t>
  </si>
  <si>
    <t xml:space="preserve">Phòng  Nội vụ </t>
  </si>
  <si>
    <t>h.1</t>
  </si>
  <si>
    <t xml:space="preserve"> Kinh phí giao tự chủ</t>
  </si>
  <si>
    <t>h.2</t>
  </si>
  <si>
    <t xml:space="preserve"> Hỗ trợ công tác tôn giáo và gặp mặt các chức sắc tôn giáo hàng năm</t>
  </si>
  <si>
    <t>Chỉnh lý tài liệu tồn đọng 2013 trở về trước theo CV1884/SNV ngày 24/9/2020</t>
  </si>
  <si>
    <t>Mua kệ tài liệu chỉnh lý</t>
  </si>
  <si>
    <t>Phòng Tài chính- kế hoạch</t>
  </si>
  <si>
    <t>i.1</t>
  </si>
  <si>
    <t xml:space="preserve">Phụ cấp cấp ủy viên </t>
  </si>
  <si>
    <t>i.2</t>
  </si>
  <si>
    <t>Phòng Giáo dục &amp; Đào tạo</t>
  </si>
  <si>
    <t xml:space="preserve"> Chi hoạt động bộ máy (05 người )</t>
  </si>
  <si>
    <t xml:space="preserve"> Phụ cấp cấp ủy viên (1 người UV chi bộ cơ sở)</t>
  </si>
  <si>
    <t>Mua máy phô tô</t>
  </si>
  <si>
    <t>Phòng Lao động Thương binh &amp; XH</t>
  </si>
  <si>
    <t>Phòng Lao động TB &amp; XH</t>
  </si>
  <si>
    <t xml:space="preserve"> Chi hoạt động bộ máy (6 người )</t>
  </si>
  <si>
    <t xml:space="preserve">Điều tra hộ nghèo hàng năm
</t>
  </si>
  <si>
    <t xml:space="preserve">Hỗ trợ ban chỉ đạo  giảm nghèo
</t>
  </si>
  <si>
    <t>KP hoạt động vì sự tiến bộ phụ nữ</t>
  </si>
  <si>
    <t>Cập nhật phần mên Kế toán,</t>
  </si>
  <si>
    <t>Phòng Kinh tế và Hạ tầng</t>
  </si>
  <si>
    <t>o</t>
  </si>
  <si>
    <t>Phòng Ytế</t>
  </si>
  <si>
    <t xml:space="preserve"> Chi hoạt động bộ máy  (03 người )</t>
  </si>
  <si>
    <t xml:space="preserve"> Chi công tác kiểm tra An toàn thực phẩm và nhiệm vụ chuyên môn ngành</t>
  </si>
  <si>
    <t>p</t>
  </si>
  <si>
    <t xml:space="preserve"> B/chế quỹ tiền lương và các khoản đóng góp  (04 biên chế )</t>
  </si>
  <si>
    <t xml:space="preserve"> Phụ cấp cấp uỷ viên</t>
  </si>
  <si>
    <t>Kinh phí hoạt động  thường trực về chính sách dân tộc</t>
  </si>
  <si>
    <t>q</t>
  </si>
  <si>
    <t>Phòng nội vụ</t>
  </si>
  <si>
    <t>4.8</t>
  </si>
  <si>
    <t>Chi an ninh quốc phòng</t>
  </si>
  <si>
    <t>Chi quốc phòng ( Huyện đội)</t>
  </si>
  <si>
    <t>010</t>
  </si>
  <si>
    <t xml:space="preserve">Ban Chỉ huy Quân sự huyện </t>
  </si>
  <si>
    <t xml:space="preserve"> Hỗ trợ KP tuần tra, kiểm soát  tự quản đường biên giới</t>
  </si>
  <si>
    <t xml:space="preserve"> KP thực hiện chi trả  chế độ theo NĐ 03/2016/NĐ-CP</t>
  </si>
  <si>
    <t>Chi công tác an ninh</t>
  </si>
  <si>
    <t>040</t>
  </si>
  <si>
    <t xml:space="preserve">Công an huyện </t>
  </si>
  <si>
    <t>Văn phòng Huyện ủy</t>
  </si>
  <si>
    <t>4.9</t>
  </si>
  <si>
    <t>Chi khác ngân sách</t>
  </si>
  <si>
    <t xml:space="preserve"> Chi hỗ trợ xét xử Toà án và chi hoạt động HTND </t>
  </si>
  <si>
    <t>Tòa án huyện</t>
  </si>
  <si>
    <t>Kinh phí xét xử, vụ án điểm dự kiến 10 vụ</t>
  </si>
  <si>
    <t>KP hổ trợ VPP, tập huấn, sơ kết tổng kết Hội thẩm nhân dân</t>
  </si>
  <si>
    <t>Việm Kiểm sát</t>
  </si>
  <si>
    <t>Chi cục thuế</t>
  </si>
  <si>
    <t xml:space="preserve"> Chi ban ATGT; trong đó, bao gồm chi phí tiền điện vận hành đèn báo ATGT</t>
  </si>
  <si>
    <t>Phòng Kinh tế hạ tầng</t>
  </si>
  <si>
    <t>Trung tâm Y tế huyện</t>
  </si>
  <si>
    <t>Chi công tác đối ngoại</t>
  </si>
  <si>
    <t>Ngân hàng chính sách huyện</t>
  </si>
  <si>
    <t>Hỗ trợ Qũy hỗ trợ nông dân theo Quyết định 69/QĐ-UBND ngày 09/01/2020</t>
  </si>
  <si>
    <t>Hội nông dân</t>
  </si>
  <si>
    <t>Trung tân y tế huyện</t>
  </si>
  <si>
    <t>Hỗ trợ chi phí sau thanh tra</t>
  </si>
  <si>
    <t>4.10</t>
  </si>
  <si>
    <t xml:space="preserve"> Dự kiến 70% tăng thu thực hiện CCTL</t>
  </si>
  <si>
    <t>Nguồn tiết kiệm chi bộ máy theo Nghị định 34/NĐ-CP; NQ 36/2020 HĐND tỉnh</t>
  </si>
  <si>
    <t>Dự phòng Ngân sách</t>
  </si>
  <si>
    <t>Chi chương trình mục tiêu quốc gia</t>
  </si>
  <si>
    <t>Biểu số          /phân bổ chi tiết CT MTQG</t>
  </si>
  <si>
    <t xml:space="preserve"> Chương trình mục tiêu quốc gia  xây dựng nông thôn mới</t>
  </si>
  <si>
    <t>0390</t>
  </si>
  <si>
    <t xml:space="preserve">Vốn đầu tư </t>
  </si>
  <si>
    <t>Vốn sự nghiệp</t>
  </si>
  <si>
    <t>Chương trình mục tiêu quốc gia giảm nghèo bền vững</t>
  </si>
  <si>
    <t>0010</t>
  </si>
  <si>
    <t xml:space="preserve"> Chương trình 135</t>
  </si>
  <si>
    <t xml:space="preserve"> Dự án 4: truyền thông va giảm nghèo về thông tin</t>
  </si>
  <si>
    <t xml:space="preserve"> Dự án 5:  nâng cao năng lực và giám sát, 
đánh giá thực hiện chương trình</t>
  </si>
  <si>
    <t>TỔNG CỘNG</t>
  </si>
  <si>
    <t>Lương và các khoản đóng góp theo lương ( 3 BC)</t>
  </si>
  <si>
    <t>Lương và các khoản đóng góp theo lương ( 8 BC)</t>
  </si>
  <si>
    <t xml:space="preserve"> Phụ cấp cấp ủy viên </t>
  </si>
  <si>
    <t xml:space="preserve">Kinh phí khoan giếng </t>
  </si>
  <si>
    <t>Kinh phí sửa chữa hệ thống cửa nhà làm việc số 1; sửa chữa hệ thống tường, mái bị dột ,thấm nước các nhà khu nhà làm việc Huyện ủy</t>
  </si>
  <si>
    <t xml:space="preserve">KP nâng cấp mạng LAN nội bộ (năm 2022: mở rộng, bảo dưỡng hệ thống </t>
  </si>
  <si>
    <t>Chi hoạt động bộ máy  (20 BC+03 HĐ 68</t>
  </si>
  <si>
    <t>Đại hội đoàn thanh niên CS HCM nhiệm kỳ 2022-2027</t>
  </si>
  <si>
    <t xml:space="preserve">  Chi hoạt động bộ máy  (7 người)</t>
  </si>
  <si>
    <t>Phòng TN-MT</t>
  </si>
  <si>
    <t>Đo đạc đất trả về (494,2 ha)</t>
  </si>
  <si>
    <t>Chi hoạt động bộ máy  (5 người )</t>
  </si>
  <si>
    <t>Chi hoạt động bộ máy  (06 người )</t>
  </si>
  <si>
    <t>Chi hoạt động bộ máy (8 người )</t>
  </si>
  <si>
    <t>Mua sắm máy vi tính; máy in</t>
  </si>
  <si>
    <t>Chi tập huấn các hộ kinh doanh</t>
  </si>
  <si>
    <t xml:space="preserve">Hỗ trợ mai táng phí cho đối tượng người có công </t>
  </si>
  <si>
    <t>Chi thường xuyên các lĩnh vực khác</t>
  </si>
  <si>
    <t>Kinh phí tiếp xúc cử tri</t>
  </si>
  <si>
    <t>Thực hiện đề án tuyên truyền, phổ biến, giáo dục PL và vận động đồng bào DTTS giai đoạn 2021-2025</t>
  </si>
  <si>
    <t>Chi cân đối</t>
  </si>
  <si>
    <t>NSNN Đặt hàng; Duy trì hệ thống thoát nước đô thị, 
thu gom đất bồi lắng mặt đường đô thị</t>
  </si>
  <si>
    <t>Hỗ trợ bệnh nhân nghèo điều trị nội trú trong dịp tết nguyên đán</t>
  </si>
  <si>
    <t>Chi ủy thác vay đối với người nghèo và các đối tượng chính sách khác</t>
  </si>
  <si>
    <t>Chi trích lập quỹ khen thưởng</t>
  </si>
  <si>
    <t xml:space="preserve">Chi hỗ trợ công tác dân số- KHHGD </t>
  </si>
  <si>
    <t xml:space="preserve">Hỗ trợ công tác chống thất thu thuế </t>
  </si>
  <si>
    <t>Chi hỗ trợ công tác tuyên truyền vận động nhiệm vụ của ngành</t>
  </si>
  <si>
    <t>(Trường THPT Quang trung 1,2 trđ; trường PTDT Nội trú 24 trđ; Trung tâm GDNN-GDTX 02 trđ)</t>
  </si>
  <si>
    <t>Sa Nhơn</t>
  </si>
  <si>
    <t>Xã Rờ Kơi</t>
  </si>
  <si>
    <t>Xã Ya Ly</t>
  </si>
  <si>
    <t>Xã Ya Xiêr</t>
  </si>
  <si>
    <t>Xã Ya Tăng</t>
  </si>
  <si>
    <t>Xã Sa Nhơn</t>
  </si>
  <si>
    <t>Chi hoạt động chuyên môn sự nghiệp ( Bao gồm, trạm phát lại truyền hình; trạm phát lại xã vùng lõm;  tăng thời lượng phát sóng, phát thanh truyền hình tiếng dân tộc)</t>
  </si>
  <si>
    <t xml:space="preserve">Chi  hoạt động phong trào Đoàn </t>
  </si>
  <si>
    <t xml:space="preserve"> Kinh phí sơ kết giữa nhiệm kỳ</t>
  </si>
  <si>
    <t>Kinh phí tổ chức khảo sát lấy ý kiến hài lòng của người dân trong xây dựng nông thôn mới</t>
  </si>
  <si>
    <t>Kinh phí hỗ trợ mô hình nuôi heo sọc dưa (05 hộ x 20tr/hộ)</t>
  </si>
  <si>
    <t>Biểu 08/PBNSX 2022</t>
  </si>
  <si>
    <t>Biểu 08/PBNSX 2020</t>
  </si>
  <si>
    <t>ĐVT: Triệu đồng</t>
  </si>
  <si>
    <t>Thị trấn</t>
  </si>
  <si>
    <t xml:space="preserve"> Sa Bình</t>
  </si>
  <si>
    <t xml:space="preserve"> Sa nghĩa</t>
  </si>
  <si>
    <t>Xã Sa Sơn</t>
  </si>
  <si>
    <t>Xã Ya ly</t>
  </si>
  <si>
    <t xml:space="preserve"> Ya Xiêr</t>
  </si>
  <si>
    <t xml:space="preserve"> Ya  Tăng</t>
  </si>
  <si>
    <t>Hơ Moong</t>
  </si>
  <si>
    <t xml:space="preserve"> Rờ Kơi</t>
  </si>
  <si>
    <t>Xã Mô rai</t>
  </si>
  <si>
    <t>Bổ sung mục tiêu</t>
  </si>
  <si>
    <t>NS tỉnh</t>
  </si>
  <si>
    <t>TỔNG CHI NGÂN SÁCH CẤP XÃ</t>
  </si>
  <si>
    <t>Chi DTPT từ nguồn thu sử dụng đất</t>
  </si>
  <si>
    <t>Chi thường xuyên cân đối NS</t>
  </si>
  <si>
    <t xml:space="preserve"> Phụ cấp ủy viên cấp xã</t>
  </si>
  <si>
    <t>KP HĐ TX chi bộ cơ sở theo QĐ số 99-QĐ/TW ngày 30/5/2012 của BCH TƯ</t>
  </si>
  <si>
    <t>Phụ cấp thôn đội trưởng</t>
  </si>
  <si>
    <t>KP huấn luyện dân quân TX</t>
  </si>
  <si>
    <t>II.a</t>
  </si>
  <si>
    <t>Chi sự nghiệp giáo dục-Đào tạo</t>
  </si>
  <si>
    <t>Hỗ trợ tiền ăn cho người hoạt động không chuyên trách ở cấp xã, thôn, tổ dân phố khi tham gia các lớp đào tạo, bồi dưỡng.</t>
  </si>
  <si>
    <t>Chi sự nghiệp Kinh tế</t>
  </si>
  <si>
    <t>KP cấp bù miễn thu thủy lợi phí</t>
  </si>
  <si>
    <t>Diện tích Thủy lợi xã quản lý</t>
  </si>
  <si>
    <t xml:space="preserve"> Định mức</t>
  </si>
  <si>
    <t xml:space="preserve"> Giao thông nông thôn</t>
  </si>
  <si>
    <t xml:space="preserve"> Thủy lợi</t>
  </si>
  <si>
    <t>Hỗ trợ phát triển đất trồng lúa</t>
  </si>
  <si>
    <t xml:space="preserve"> Chi sự nghiệp môi trường</t>
  </si>
  <si>
    <t xml:space="preserve"> Sự nghiệp văn hóa</t>
  </si>
  <si>
    <t xml:space="preserve"> Sự nghiệp thể thao </t>
  </si>
  <si>
    <t xml:space="preserve"> Trong đó:  Lương hưu trí</t>
  </si>
  <si>
    <t xml:space="preserve"> Chi công tác xã hội khác</t>
  </si>
  <si>
    <t xml:space="preserve"> Hỗ trợ KP chúc thọ mừng thọ (NQ 14/2019/HĐND); hoạt động theo Luật người cao tuổi</t>
  </si>
  <si>
    <t xml:space="preserve">  Phụ cấp CB không chuyên trách theo NĐ 34/2019</t>
  </si>
  <si>
    <t xml:space="preserve"> + Số lượng</t>
  </si>
  <si>
    <t>Bồi dưỡng tiếp công dân, xử lý đơn thu, khiếu nại, tố cáo, kiến nghị, phản ánh tại các trụ sở tiếp công dân theo quy định tại NĐ 64/2014</t>
  </si>
  <si>
    <t>Kinh phí Vận hành công trình thủy lợi làng lung</t>
  </si>
  <si>
    <t>Chi công tác quản lý điểm cao 1049 xã Rờ Kơi ; 1051 xã hơ moong</t>
  </si>
  <si>
    <t xml:space="preserve">Trong đó: Lương và các khoản đóng góp theo lương </t>
  </si>
  <si>
    <t>Biên soạn lịch sử Đảng (Chỉ thị số 20-CT/TW ngày 18-01-2018 của Ban Bí Thư</t>
  </si>
  <si>
    <t>Chi hỗ trợ UBMTTQ; Ban công tác MT ở khu dân cư NQ 16_2018</t>
  </si>
  <si>
    <t xml:space="preserve"> Kinh phí hoạt động các chi hội xã ĐBKK</t>
  </si>
  <si>
    <t>Chi công tác DQTV, ANTT</t>
  </si>
  <si>
    <t>Chi an ninh trật tự</t>
  </si>
  <si>
    <t>Chi công tác quốc phòng</t>
  </si>
  <si>
    <t>Phụ cấp theo NĐ 72/2020</t>
  </si>
  <si>
    <t>Kinh phí diễn tập PT 2021</t>
  </si>
  <si>
    <t>Hỗ trợ thôn làng đón tết</t>
  </si>
  <si>
    <t xml:space="preserve"> Chi dự phòng ngân sách</t>
  </si>
  <si>
    <t>Dự toán huyện giao</t>
  </si>
  <si>
    <t>Tỉnh giao</t>
  </si>
  <si>
    <t>Huyện giao</t>
  </si>
  <si>
    <t>10</t>
  </si>
  <si>
    <t>11</t>
  </si>
  <si>
    <t>Dự toán tỉnh giao</t>
  </si>
  <si>
    <t>Qũy tiền lương</t>
  </si>
  <si>
    <t>Kinh phí  hoạt động thường xuyên ( theo nghị quyết số  /HĐND)</t>
  </si>
  <si>
    <t>UTH năm 2021</t>
  </si>
  <si>
    <t>Chi từ nguồn bổ sung có mục tiêu, mục tiêu quốc gia</t>
  </si>
  <si>
    <t>Lệ phí môn bài</t>
  </si>
  <si>
    <t>S
TT</t>
  </si>
  <si>
    <t>Định mức chi thường xuyên 03 người x 18trđ/người/năm</t>
  </si>
  <si>
    <t>Chi theo định mức biên chế 03 người x18trđ/năm x1,3</t>
  </si>
  <si>
    <t xml:space="preserve"> Chi theo định mức biên chế 03 người x18trđ/năm x1,3</t>
  </si>
  <si>
    <t xml:space="preserve"> Chi theo định mức biên chế 02 người x18trđ/năm x1,3</t>
  </si>
  <si>
    <t xml:space="preserve"> Chi theo định mức biên chế 01 người x18trđ/năm </t>
  </si>
  <si>
    <t>Chi theo định mức biên chế 06 người x18trđ/năm *1,3</t>
  </si>
  <si>
    <t>Chi theo định mức biên chế 05 người x18trđ/năm *1,3</t>
  </si>
  <si>
    <t>Chi theo định mức biên chế 03 người x18trđ/năm *1,3</t>
  </si>
  <si>
    <t xml:space="preserve"> Chi theo định mức biên chế 05 người x18trđ/năm *1,3</t>
  </si>
  <si>
    <t xml:space="preserve"> Chi theo định mức biên chế 04 người x18trđ/năm *1,3</t>
  </si>
  <si>
    <t xml:space="preserve"> Chi theo định mức biên chế 03 người x18trđ/năm *1,3</t>
  </si>
  <si>
    <t>Dự toán
năm 2022 ngân sách cấp huyện</t>
  </si>
  <si>
    <t>Dự toán
năm 2021 ngân sách cấp huyện</t>
  </si>
  <si>
    <t>Đề  án nâng cao chất lượng HSDTTS</t>
  </si>
  <si>
    <t>Chi phí ban đầu cho khai thác hệ thống cấp nước sinh hoạt</t>
  </si>
  <si>
    <t>NSNN đặt hàng: Chăm sóc vườn hoa, cây xanh công viên; Duy trì cây bóng mát, cây hàng rào; phát thảm cỏ, làm cỏ tạp, tưới nước thảm cỏ; trang trí hoa tết</t>
  </si>
  <si>
    <t xml:space="preserve"> Định mức chi thường xuyên 08 người x 18trđ/người/năm</t>
  </si>
  <si>
    <t xml:space="preserve"> Định mức chi thường xuyên ( 09 người* 18 trđ/người/năm)</t>
  </si>
  <si>
    <t xml:space="preserve">Chi thường xuyên  08 người *18 trđ/người/năm) </t>
  </si>
  <si>
    <t>Chi theo định mức biên chế 23 người x16trđ/năm x1,3</t>
  </si>
  <si>
    <t xml:space="preserve"> Chi theo định mức biên chế 07 người x18trđ/năm *1,3</t>
  </si>
  <si>
    <t>Chi theo định mức biên chế 08 người x18trđ/năm *1,3</t>
  </si>
  <si>
    <t xml:space="preserve"> Chi theo định mức biên chế 06 người x18trđ/năm *1,3</t>
  </si>
  <si>
    <t xml:space="preserve"> Chi hoạt động phát thanh</t>
  </si>
  <si>
    <t>Chi văn hóa thể thao du lịch- truyền thông</t>
  </si>
  <si>
    <t>Hỗ trợ học sinh dân tộc thiểu số tham gia kỳ thi tốt nghiệp THPTQG ( Trường PTDTND, THPT quang trung, TTGDTX-GDNN)</t>
  </si>
  <si>
    <t>Phụ cấp thường xuyên cho đội trưởng, đội phó dân phòng theo Nghị định 136/2020/CP</t>
  </si>
  <si>
    <t>Phụ cấp công an xã bán chuyên trách theo Nghị định 42/CP và Nghị quyết HĐND tỉnh</t>
  </si>
  <si>
    <t>BIỂU TỔNG HỢP DỰ TOÁN CHI NSĐP NĂM 2022</t>
  </si>
  <si>
    <t>r</t>
  </si>
  <si>
    <t>Thống kê đất đai năm 2021, 2022</t>
  </si>
  <si>
    <t xml:space="preserve">Lập dự án quy hoạch sử dụng đất thời kỳ 2021-2030 </t>
  </si>
  <si>
    <t xml:space="preserve"> Chi hoạt động bộ máy  (04 người )</t>
  </si>
  <si>
    <t xml:space="preserve"> Chi thực hiện công tác chuyên môn ngành, lĩnh vực kế hoạch PT KTXH, đầu tư công, ngân sách hàng năm</t>
  </si>
  <si>
    <t>Kinh phí  tuyên truyền, phổ biến, giáo dục pháp luật về quản lý, hoạt động phát triển sự nghiệp ngành, lĩnh vực: Quảng bá, PT nguồn dược liệu gắn với Du lịch trên địa bàn theo Nghị quyết HĐND huyện.</t>
  </si>
  <si>
    <t>Kinh phí cập nhật phần mềm QLCS</t>
  </si>
  <si>
    <t>Chế độ thù lao đối với  người đã nghĩ hưu giữ chức danh lãnh đạo chuyên trách Hội người Cao tuổi và hỗ trợ kinh phí hoạt động hội</t>
  </si>
  <si>
    <t>Chế độ thù lao đối với  người đã nghĩ hưu giữ chức danh lãnh đạo chuyên trách Hội cựu thanh niên xung phong và hỗ trợ kinh phí hoạt động hội</t>
  </si>
  <si>
    <t>Chế độ thù lao đối với  người đã nghĩ hưu giữ chức danh lãnh đạo chuyên trách Hội nạn nhân chất độc Da cam và hỗ trợ kinh phí hoạt động hội</t>
  </si>
  <si>
    <t>Kinh phí xây dựng mô hình chăn nuôi heo sọc dưa</t>
  </si>
  <si>
    <t>Kinh phí Tổ chức tuyên truyền pháp luật tại các thôn, làng, theo đề án 021133, tại Làng Kà Đừ, làng Chốt, Làng Kleng (Thị trấn); làng Răk xã Ya Xia, Làng Tum xã Ya Ly</t>
  </si>
  <si>
    <t>Kinh phí Tổ chức thăm hỏi các đồn biên phòng theo quy chế ký kết phối hợp nhân ngay biên phòng toàn dân (ngày 03/3)</t>
  </si>
  <si>
    <t>Kinh phí Tổ chức Hội thi và đưa Hội viên nông dân tham gia Hội thi "Nhà nông đua tài" toàn tỉnh năm 2022 và tham gia hội thi "Nhà nông đua tài" toàn quốc lần thứ V</t>
  </si>
  <si>
    <t>Kinh phí đại hội Hội Cựu chiến binh nhiệm kỳ 2022-2027</t>
  </si>
  <si>
    <t>Chi hoạt động công tác hội</t>
  </si>
  <si>
    <t>Kinh phí công vụ phục vụ chung khối Ủy ban</t>
  </si>
  <si>
    <t>KP thăm và chúc tết Nguyên Đán các đồn biên phòng, các đơn vị, xã  tuyến biên giới…theo Nghị quyết 73/2020/NQ-HĐND ngày 14/12/2020</t>
  </si>
  <si>
    <t>Chi mua sắm tài sản (01 bộ máy vi tính)</t>
  </si>
  <si>
    <t>Kinh phí thực hiện Đề án 500 trí thức trẻ tình nguyện 
( Phòng nội vụ)</t>
  </si>
  <si>
    <t xml:space="preserve"> Hỗ công tác quân sự địa phương, gồm: Hội nghị, tập huấn, xăng xe, VPP, thông tin liên lạc, Khám tuyển nghĩa vụ, các BCĐ và hội đồng GDQP  và hoạt động khác</t>
  </si>
  <si>
    <t xml:space="preserve">Thực hiện chương trình hành động quốc gia vì trẻ em </t>
  </si>
  <si>
    <t>Lập kế hoạch sử dụng đất  2022</t>
  </si>
  <si>
    <t>Kinh phí chỉnh lý tài liệu Các cơ quan chuyên trách giúp việc huyện ủy</t>
  </si>
  <si>
    <t>Phụ cấp trách nhiệm NĐ 72/2020/NĐCP</t>
  </si>
  <si>
    <t xml:space="preserve">Các khoản chi khác </t>
  </si>
  <si>
    <t>Chi Giám sát  đầu tư cộng đồng; Tổ hoà giải; Thanh tra nhân dân</t>
  </si>
  <si>
    <t>Phụ cấp lực lượng dân quân thường trực</t>
  </si>
  <si>
    <t>Hoạt động Ban chỉ đạo 35 ( Không gian mạng)</t>
  </si>
  <si>
    <t>Định mức chi thường xuyên 35 BC *16trđ/năm *1,3</t>
  </si>
  <si>
    <t>Đại hội Đoàn thanh niên nhiệm kỳ 2022-2027</t>
  </si>
  <si>
    <t>Biểu số: 07/UB/2022</t>
  </si>
  <si>
    <t>DỰ TOÁN THU PHÂN BỔ NGÂN SÁCH CẤP XÃ, THỊ TRẤN NĂM 2022</t>
  </si>
  <si>
    <t>VÀ TỶ LỆ PHẦN TRĂM PHÂN CHIA CÁC KHOẢN THU ĐIỀU TIẾT NGÂN SÁCH TỪNG XÃ, THỊ TRẤN NĂM 2022</t>
  </si>
  <si>
    <t xml:space="preserve">Đơn vị </t>
  </si>
  <si>
    <t xml:space="preserve">Tổng thu </t>
  </si>
  <si>
    <t>Điều
 tiết</t>
  </si>
  <si>
    <t>Chi tiết các sắc thuế</t>
  </si>
  <si>
    <t xml:space="preserve">    Thuế VAT</t>
  </si>
  <si>
    <t xml:space="preserve">    Thuế thu nhập DN</t>
  </si>
  <si>
    <t xml:space="preserve">    Thuế TTĐB</t>
  </si>
  <si>
    <t>Thuế nhà đất,
 thuế phi nông nghiệp</t>
  </si>
  <si>
    <t>Thu phí, lệ phí</t>
  </si>
  <si>
    <t xml:space="preserve">   Thu sử dụng đất </t>
  </si>
  <si>
    <t xml:space="preserve">Lệ phí
  trước bạ </t>
  </si>
  <si>
    <t>Thu nhập cá nhân hộ khoán</t>
  </si>
  <si>
    <t>Thuê mặt đất, mặt nước</t>
  </si>
  <si>
    <t>01</t>
  </si>
  <si>
    <t>02</t>
  </si>
  <si>
    <t>Xã Sa Bình</t>
  </si>
  <si>
    <t>03</t>
  </si>
  <si>
    <t>Xã Sa nghĩa</t>
  </si>
  <si>
    <t>04</t>
  </si>
  <si>
    <t>05</t>
  </si>
  <si>
    <t>06</t>
  </si>
  <si>
    <t>07</t>
  </si>
  <si>
    <t>08</t>
  </si>
  <si>
    <t>09</t>
  </si>
  <si>
    <t>Xã Hơ Moong</t>
  </si>
  <si>
    <t>Thu cấp quyền KTKS</t>
  </si>
  <si>
    <t>Chính sách Bảo trợ  xã hội theo Nghị định 20/CP,  hỗ trợ đối tượng chính sách</t>
  </si>
  <si>
    <t xml:space="preserve">Kinh phí mua bàn ghế học viên (30 bàn đôi, 60 ghế); Mua sắm vật tư trang bị khu ký túc xá </t>
  </si>
  <si>
    <t>Dự toán
lương 1,49trđ</t>
  </si>
  <si>
    <t xml:space="preserve"> Chi hỗ trợ công tác giữ gìn ANTT ATXH trên địa bàn; ANBG (Bao gồm tà đạo hà mòn) ; Hỗ trợ kinh phí tập huấn công tác phòng cháy chữa cháy</t>
  </si>
  <si>
    <t xml:space="preserve"> KP bảo vệ ANTTXH địa bàn; An ninh biên giới; Tà đạo Hà mòn</t>
  </si>
  <si>
    <t xml:space="preserve">Kinh phí thực hiện chuyên môn đào tạo </t>
  </si>
  <si>
    <t>Kinh phí chi trả thuê kênh truyền hàng tháng ( CV 2035/2018/STC-QLNS)</t>
  </si>
  <si>
    <t>Lập kế hoạch sử dụng đất 2022, 2023</t>
  </si>
  <si>
    <t xml:space="preserve"> Kinh phí đoàn kiểm tra theo QĐ 2499 và BCĐ theo QĐ 389/2015</t>
  </si>
  <si>
    <t xml:space="preserve"> Chi công tác huấn luyện lực lượng Dân quân tự vệ và DBĐV</t>
  </si>
  <si>
    <t xml:space="preserve"> KP Hoạt động của các chức danh thôn, tổ dân phố ( Không bao gồm: bí thư chi bộ thôn, trưởng thôn, tố trưởng dân phố và công an viên ở thôn, tổ dân phố); BHYT cán bộ thôn, làng</t>
  </si>
  <si>
    <t xml:space="preserve">Bảo hiểm y tế cán bộ KCT thôn làng </t>
  </si>
  <si>
    <t>Chi các chính sách giáo dục</t>
  </si>
  <si>
    <t>Tỉnh giao 2021</t>
  </si>
  <si>
    <t xml:space="preserve">Dự toán năm 2022 </t>
  </si>
  <si>
    <t>Công tác đo đạc, đăng ký đất đai, cấp Giấy chứng nhận, xây dựng cơ sở dữ liệu đất đai và đăng ký biến động, chỉnh
lý hồ sơ địa chính thường xuyên</t>
  </si>
  <si>
    <t>Hỗ trợ đầu tư các công trình  cấp bách</t>
  </si>
  <si>
    <t>Duy tu, bảo dưỡng hệ thống đèn chiếu sáng, trang trí đường Nguyễn trãi</t>
  </si>
  <si>
    <t>Duy tu, bảo dưỡng hệ thống điện chiếu sáng một số tuyến đường trên địa bàn huyện Sa Thầy: Đường Lê Duẩn ( Đoạn từ đường Trần Hưng Đạo đến Đường Phan Bội Châu); đường Trần Phú ( Đoạn từ đường Lê Duẩn đến đường Trần Hưng Đạo); đường Quy hoạch số 1 ( Đoạn từ đường Tô Vĩnh Diện đến đường Hoàng Hoa Thám); Đường Hàm Nghi ( Đoạn từ đường Phan Bội châu đến hội trường thôn 4)</t>
  </si>
  <si>
    <t xml:space="preserve">Cải tạo, trồng mới cây xanh trên địa bàn </t>
  </si>
  <si>
    <t>Sự nghiệp môi trường khác</t>
  </si>
  <si>
    <t>Cơ quan chuyên môn phân bổ khi phát sinh nhiệm vụ</t>
  </si>
  <si>
    <t>Mua 01 bộ máy tính, máy in, bộ âm ly phục vụ chuyên môn</t>
  </si>
  <si>
    <t>Sửa xe ô tô chuyên dùng</t>
  </si>
  <si>
    <t>Trong đó: Thu do UBND huyện thực hiện (1)</t>
  </si>
  <si>
    <t>Xây dựng đô thị tăng trưởng xanh</t>
  </si>
  <si>
    <t>Kinh phí bầu cử</t>
  </si>
  <si>
    <t>Đại hội nhiệm kỳ 2021-2025</t>
  </si>
  <si>
    <t>Đại hội cháu ngoan Bác Hồ</t>
  </si>
  <si>
    <t>Tổng kết 5 năm phong trào CCB giúp nhau xóa đói giảm nghèo làm kinh tế giỏi</t>
  </si>
  <si>
    <t>Dđại hội nhiệm kỳ 2021-2025</t>
  </si>
  <si>
    <t>Sử dụng phần mềm QLTS, Kế toán</t>
  </si>
  <si>
    <t>Phần mện kế toán</t>
  </si>
  <si>
    <t>Tập huấn NĐ 30/2020</t>
  </si>
  <si>
    <t>Cài đặt phần mệ kế toán</t>
  </si>
  <si>
    <t>Diễn tập PT21</t>
  </si>
  <si>
    <t xml:space="preserve"> Chi công tác đối ngoại, an ninh biên giới</t>
  </si>
  <si>
    <t>Trong đó: UV BCH Huyện đảng bộ (42 người)</t>
  </si>
  <si>
    <t>Phụ cấp báo cáo viên ( 18 người*0,2)</t>
  </si>
  <si>
    <t>Phụ cấp cộng tác viên dư luận xã hội</t>
  </si>
  <si>
    <t xml:space="preserve"> Chi công tác xây dựng mạng lưới cung cấp thông tin về an ninh chính trị trên địa bàn; vấn đề nổi cộm các điểm nóng về an ninh quốc phòng, dân tộc tôn giáo</t>
  </si>
  <si>
    <t>Chênh lệch DT2022 so 2021</t>
  </si>
  <si>
    <t>Chi mua sắm, sửa chữa thường xuyên trụ sở, phương tiện làm việc và tài sản cố định khác</t>
  </si>
  <si>
    <t>Sự nghiệp văn hoá thông tin, thể thao, du lịch và truyền thông</t>
  </si>
  <si>
    <t>Chi kiểm tra hành nghề Y Dược tư nhân</t>
  </si>
  <si>
    <r>
      <t xml:space="preserve">Kinh phí phòng chống dịch bệnh động vật trên cạn gồm: </t>
    </r>
    <r>
      <rPr>
        <b/>
        <i/>
        <sz val="11"/>
        <color theme="1"/>
        <rFont val="Times New Roman"/>
        <family val="1"/>
      </rPr>
      <t>( vệ sinh khử trùng tiêu độc và đăng ký, theo dõi, quản lý chó nuôi, điều trị dự phòng bệnh dại)</t>
    </r>
  </si>
  <si>
    <t>PHÂN BỔ DỰ TOÁN CHI  NGÂN SÁCH CẤP XÃ NĂM 2022</t>
  </si>
  <si>
    <t>Đvt: Triệu đồng.</t>
  </si>
  <si>
    <t>Chi thường xuyên bộ máy  (3 người )</t>
  </si>
  <si>
    <t xml:space="preserve"> Định mức chi thường xuyên 03 người 18trđ/năm x1,3</t>
  </si>
  <si>
    <t>Mua sắm trang bị hội trường 19/5; sủa chữa máy điều hòa hội trường 19/5 huyện</t>
  </si>
  <si>
    <t>Trang bị phần mền quản lý  bộ máy hành chính huyện</t>
  </si>
  <si>
    <t>Kp giao thông nông thôn, thủy lợi</t>
  </si>
  <si>
    <t>Chi mua trang phục ngành ( 05 biên chế)</t>
  </si>
  <si>
    <t>Chi ban chỉ đạo của BTV huyện ủy (Thực hiện cải cách tư pháp;  Ban tôn giáo; BCĐ quy chế dân chủ; BCĐ covid_19)</t>
  </si>
  <si>
    <t xml:space="preserve">Công tác quản lý, bảo vệ môi trường </t>
  </si>
  <si>
    <t>Thực hiên chính sách theo NĐ 81/2021/NĐCP</t>
  </si>
  <si>
    <t>Chính sách cấp bù học phí,  hỗ trợ chi phí học tập cho học sinh sinh viên theo Nghị định 81/2021/NĐ-CP</t>
  </si>
  <si>
    <t>Biên chế,
 định mức huyện giao</t>
  </si>
  <si>
    <t>Biên 
chế huyện giao</t>
  </si>
  <si>
    <t>Chi xăng xe; bảo hiểm, phí, lệ phí xe và sủa chữa xe ô tô
 phục vụ công tác</t>
  </si>
  <si>
    <t>Kinh phí mua sắm, duy tu, bảo dưỡng tài sản;lắp đặt,
 duy trì hệ thồng mạng nội bộ</t>
  </si>
  <si>
    <t>Mua sắm TSCĐ (01 bộ máy vi tính )</t>
  </si>
  <si>
    <t>Sửa chữa mặt đường và vĩa hè đường Trần Hưng Đạo ( Đoạn từ Nguyễn Tất Thành đến làng Kà Đừ) thị trấn Sa Thầy</t>
  </si>
  <si>
    <t>Sửa chữa mặt đường vàhệ thống thoát nước,  vĩa hè đường quy hoạch số 1 ( Đoạn từ Đường Tô Vĩnh Diện đến Đường Trường Chinh) thị trấn Sa Thầy</t>
  </si>
  <si>
    <t>Sửa chữa mặt đường vàhệ thống thoát nước,  vĩa hè đường Bùi Thị Xuân ( Đoạn từ Đường Tô Vĩnh Diện đến Đường Trường Chinh) thị trấn Sa Thầy</t>
  </si>
  <si>
    <t>Sửa chữa mặt đường từ trung tâm xã Sa Sơn đi làng Bađgoc</t>
  </si>
  <si>
    <t xml:space="preserve"> Khắp phục, sửa chữa cầu treo Kram xã Rờ Kơi; 
Cầu treo làng Kênh; Cầu treo đội 3 thôn Ia Tri; Cầu treo làng Xộp; Cầu treo đi khi SX làng rẽ xã Mô Rai</t>
  </si>
  <si>
    <t>Chi hoạt động phong trào hội LHPN;</t>
  </si>
  <si>
    <t>Duy tu, bảo dưỡng công trình giao thông, thủy lợi thuộc huyện quản lý</t>
  </si>
  <si>
    <t>Hỗ trợ hội  cựu giáo chức</t>
  </si>
  <si>
    <t>Chế độ thù lao chức danh đứng đầu hội 57,22trđ; hỗ trợ cơ sở vật chất ban đầu 25trđ ( Bàn ghế làm việc, máy vi tính, tủ đụng tài liệu); Hỗ trợ đại hội Hội cựu giáo chức 50 trđ; hoạt động hội nhiệm vụ được giao 10trđ</t>
  </si>
  <si>
    <t>Chi công tác đột xuất của huyện ủy, tiếp các đoàn về làm việc với huyện theo duy định tại Quyết định số 22/2019 QĐ-UBND ngày 09/12/2019; thăm, chúc tết, dự, chúc mừng kỷ niệm ngày truyền thống các đồn biên phòng, các xã...</t>
  </si>
  <si>
    <t>Hỗ trợ KP hoạt động của Hội Khuyến học</t>
  </si>
  <si>
    <t>Chi thường xuyên hoạt động bộ máy (06 biên chế)</t>
  </si>
  <si>
    <t>Định mức chi thường xuyên 06 người x 18 trđ/năm</t>
  </si>
  <si>
    <t xml:space="preserve"> Trong đó: Hỗ trợ kinh phí trang bị các bộ
 cồng chiêng, trống cho các thôn, làng đồng bào dân tộc thiểu số không có cồng chiêng trên địa bàn tỉnh</t>
  </si>
  <si>
    <t>Đồ án Quy hoạch chung các xã  giai
 đoạn 2021-2030</t>
  </si>
  <si>
    <t>Kinh phí thực hiện chính sách đặc thù ĐP trợ giúp xã hội đối tượng BTXH theo NQ-HĐND tỉnh triển khai NĐ 20/2021/NĐ-CP</t>
  </si>
  <si>
    <t xml:space="preserve">Thực hiện mô hình khuyến nông, khuyến lâm, khuyến ngư: </t>
  </si>
  <si>
    <t xml:space="preserve"> Thực hiện Đề án 07-ĐA/HU ngày 25/10/2021 cải tạo vườn tạp trên địa bàn huyện giai đoạn 2021-2025 và các đề án khác </t>
  </si>
  <si>
    <t>Chi hoạt động của cơ quan quản lý nhà nước, đảng, đoàn thể</t>
  </si>
  <si>
    <t>Kinh phí hoạt động của BCĐ công tác QLBV&amp;PTR và Tổ công 
tác liên ngành QLBVR</t>
  </si>
  <si>
    <t>PHÂN BỔ CHI TIẾT DỰ TOÁN CHI NGÂN SÁCH CÁC ĐƠN VỊ DỰ TOÁN CẤP HUYỆN NĂM 2022</t>
  </si>
  <si>
    <t>Biểu số 05/UB/2022</t>
  </si>
  <si>
    <t>(Biểu số 46 /ĐTC 2022)</t>
  </si>
  <si>
    <t>Tr. đó gồm: - SHP đại biểu HĐ và BHYT</t>
  </si>
  <si>
    <t>Xã Mô Rai</t>
  </si>
  <si>
    <t>Sửa chữa một số vị trí hàng rào trụ sở Ủy ban nhân dân huyện và các hạng mục phụ trợ trong khuôn viên Hội trường 19-5</t>
  </si>
  <si>
    <t>BIỂU CHI TIẾT DỰ TOÁN CHI THƯỜNG XUYÊN</t>
  </si>
  <si>
    <t>SỰ NGHIỆP GIÁO DỤC NĂM 2022</t>
  </si>
  <si>
    <t>Nội dung/Đơn vị</t>
  </si>
  <si>
    <t>Biên chế</t>
  </si>
  <si>
    <t>Dự toán chi năm 2022</t>
  </si>
  <si>
    <t>CHI CÂN ĐỐI</t>
  </si>
  <si>
    <t>GIÁO DỤC MẦM NON</t>
  </si>
  <si>
    <t>Trường Mầm non Hoa Hồng</t>
  </si>
  <si>
    <t>- Biên chế quỹ lương và các khoản đóng góp</t>
  </si>
  <si>
    <t>- Định mức chi khác (28 người  x 12 triệu /năm)</t>
  </si>
  <si>
    <t>- Hỗ trợ Tăng cường cơ sở vật chất, đồ chơi ngoài trời, mái vòm che nắng</t>
  </si>
  <si>
    <t>-Kinh phí HĐ TX chi bộ cơ sở theo QĐ số 99-QĐ/TW ngày 30/5/2012 của BCH TƯ</t>
  </si>
  <si>
    <t>Trường Mầm non Họa Mi</t>
  </si>
  <si>
    <t>- Định mức chi khác (30 người  x 12 triệu /năm)</t>
  </si>
  <si>
    <t>Trường Mầm non Sơn Ca</t>
  </si>
  <si>
    <t>- Định mức chi khác  (26 người  x 12 triệu /năm)</t>
  </si>
  <si>
    <t>-Sửa chữa mái vòm</t>
  </si>
  <si>
    <t>Trường Mầm non Mô Ray</t>
  </si>
  <si>
    <t>- Định mức chi khác (19 người  x 12 triệu /năm)</t>
  </si>
  <si>
    <t>Trường Mầm non Sa Nhơn</t>
  </si>
  <si>
    <t>Trường Mầm non xã Rờ Kơi</t>
  </si>
  <si>
    <t>- Định mức chi khác (23 người  x 12 triệu /năm)</t>
  </si>
  <si>
    <t>- Chương trình sữa học đường</t>
  </si>
  <si>
    <t>Trường Mầm non xã Ya Xiêr</t>
  </si>
  <si>
    <t>Trường Mầm non Ánh Dương xã Sa Bình</t>
  </si>
  <si>
    <t>- Định mức chi khác (14 người  x 12 triệu /năm)</t>
  </si>
  <si>
    <t xml:space="preserve">Trường Mầm non Chim Non </t>
  </si>
  <si>
    <t>- Định mức chi khác (16 người  x 12 triệu /năm)</t>
  </si>
  <si>
    <t>Trường Mầm non Sao Mai</t>
  </si>
  <si>
    <t>- Định mức chi khác (15 người  x 12 triệu /năm)</t>
  </si>
  <si>
    <t>Trường Mầm non Hoa Sen xã Sa Nghĩa</t>
  </si>
  <si>
    <t>Trường Mầm non Vàng Anh</t>
  </si>
  <si>
    <t>- Hỗ trợ công tác phí cho CBGV điều động làm việc tại PGD đi công tác phục vụ chuyên môn cho toàn ngành và Sở giáo dục</t>
  </si>
  <si>
    <t>Trường Mầm non Tuổi Thơ</t>
  </si>
  <si>
    <t>Trường Mầm non Bình Minh</t>
  </si>
  <si>
    <t>TIỂU HỌC</t>
  </si>
  <si>
    <t>Trường Tiểu học Lê Hồng Phong</t>
  </si>
  <si>
    <t>- Định mức chi khác (21 người  x 12 triệu /năm)</t>
  </si>
  <si>
    <t>Trường TH Trần Quốc Toản</t>
  </si>
  <si>
    <t>- Định mức chi khác (39 người  x 11 triệu /năm)</t>
  </si>
  <si>
    <t xml:space="preserve">- Hỗ trợ nhiệm vụ vận chuyển gạo các trường có chính sách bán trú </t>
  </si>
  <si>
    <t>- Hỗ trợ công tác phí cho CBGV điều động làm việc tại PGD đi công tác phục vụ chuyên môn cho toàn ngành.</t>
  </si>
  <si>
    <t>Trường TH Rờ Kơi</t>
  </si>
  <si>
    <t>- Định mức chi khác (36 người  x 11 triệu /năm)</t>
  </si>
  <si>
    <t>- Kinh phí HĐ TX chi bộ cơ sở theo QĐ số 99-QĐ/TW ngày 30/5/2012 của BCH TƯ</t>
  </si>
  <si>
    <t>Trường PTDTBT TH Lý Thường Kiệt</t>
  </si>
  <si>
    <t>- Định mức chi khác (30 người  x 12  triệu /năm)</t>
  </si>
  <si>
    <t>Trường Tiểu học Nguyễn Bá Ngọc</t>
  </si>
  <si>
    <t>- Định mức chi khác (20 người  x 12 triệu /năm)</t>
  </si>
  <si>
    <t>Trường TH Lê Văn Tám</t>
  </si>
  <si>
    <t>- Định mức chi khác (22 người  x 12 triệu /năm)</t>
  </si>
  <si>
    <t>Trường Tiểu học Võ Thị Sáu</t>
  </si>
  <si>
    <t>- Định mức chi khác (31 người  x 11 triệu /năm)</t>
  </si>
  <si>
    <t>Trường TH Hùng Vương</t>
  </si>
  <si>
    <t>- Hỗ trợ tiền điện hội trường phục vụ tập huấn, hội thảo của ngành</t>
  </si>
  <si>
    <t>TRUNG HỌC CƠ SỞ</t>
  </si>
  <si>
    <t>Trường THCS Nguyễn Tất Thành</t>
  </si>
  <si>
    <t>- Định mức chi khác (42 người  x 11 triệu /năm)</t>
  </si>
  <si>
    <t>- Hỗ trợ mua máy photo (đảm bảo tính bảo mật đề thi)</t>
  </si>
  <si>
    <t>Trường TH - THCS xã Ya Ly</t>
  </si>
  <si>
    <t>Trường PTDTBT THCS Hai Bà Trưng</t>
  </si>
  <si>
    <t>- Định mức chi khác (27 người  x 12 triệu /năm)</t>
  </si>
  <si>
    <t>Trường TH -THCS Chu Văn An</t>
  </si>
  <si>
    <t>Trường THCS Rờ Kơi</t>
  </si>
  <si>
    <t>- Định mức chi khác (26 người  x 12 triệu /năm)</t>
  </si>
  <si>
    <t>Trường TH - THCS xã Sa Sơn</t>
  </si>
  <si>
    <t>- Định mức chi khác (30 người  x 12triệu /năm)</t>
  </si>
  <si>
    <t>Trường PTDTBT THCS Nguyễn Huệ</t>
  </si>
  <si>
    <t>Trường TH - THCS xã Sa Nghĩa</t>
  </si>
  <si>
    <t>- Định mức chi khác (33 người  x 11 triệu /năm)</t>
  </si>
  <si>
    <t>Trường PTDTBT THCS Phan Đình Phùng</t>
  </si>
  <si>
    <t>- Định mức chi khác (40 người  x 11 triệu /năm)</t>
  </si>
  <si>
    <t>Trường TH-THCS xã Ya Tăng</t>
  </si>
  <si>
    <t>Trường TH - THCS xã Ya Xiêr</t>
  </si>
  <si>
    <t>- Định mức chi khác (53 người  x 11 triệu /năm)</t>
  </si>
  <si>
    <t>Trường TH - THCS xã Sa Nhơn</t>
  </si>
  <si>
    <t>- Định mức chi khác (37 người  x 11 triệu /năm)</t>
  </si>
  <si>
    <t>Trường TH- THCS Võ Nguyên Giáp</t>
  </si>
  <si>
    <t>Lương và các khoản trích theo lương</t>
  </si>
  <si>
    <t>- Định mức chi khác (35 người  x 11 triệu /năm)</t>
  </si>
  <si>
    <t>- Hỗ trợ công tác phí cho CBGV,NV điều động làm việc tại PGD đi công tác phục vụ chuyên môn cho toàn ngành.</t>
  </si>
  <si>
    <t>Trường TH -THCS Nguyễn Trãi</t>
  </si>
  <si>
    <t>Trường TH -THCS Lê Qúy Đôn</t>
  </si>
  <si>
    <t>- Mua sắm đồ dùng , thiết bị phục vụ bếp ăn bán trú</t>
  </si>
  <si>
    <t>Chi khác để chi công tác chuyên môn mang tính chất chung của ngành</t>
  </si>
  <si>
    <t>- Chi trích lập quỹ khen thưởng toàn ngành, từ cấp huyện khen thưởng trở lên</t>
  </si>
  <si>
    <t>- Chi công tác chuyên môn mang tính chất chung của toàn ngành (hoạt động chuyên môn ngành, VPP, tham quan học hỏi kinh nghiệm...)</t>
  </si>
  <si>
    <t>- Chi tổ chức tập huấn, công tác phí cho cán bộ quản lý, giáo viên phổ thông tham gia tập huấn đại trà thực hiện chương trình giáo dục phổ thông năm 2018.</t>
  </si>
  <si>
    <t>- Chi mua sắm thiết bị phòng họp trực tuyến của Ngành</t>
  </si>
  <si>
    <t>Hỗ trợ, bồi dưỡng học sinh giỏi, nâng cao kiến thức chuyên môn nghiệp vụ giáo viên (Đề án của huyện)</t>
  </si>
  <si>
    <t>CHI CÁC CHÍNH SÁCH GIÁO DỤC TRONG CÂN ĐỐI</t>
  </si>
  <si>
    <t>Nguồn chi thường xuyên cân đối</t>
  </si>
  <si>
    <t>Học sinh bán trú và Trường PTDT bán trú theo NĐ 116/2016/NĐ-CP</t>
  </si>
  <si>
    <t>Hỗ trợ học sinh Rơ Mâm theo QĐ 57/QĐ-TTg</t>
  </si>
  <si>
    <t>Hỗ trợ học sinh khuyết tật (Học bổng và đồ dùng dạy học theo Thông tu liên tịch số 42/2013/TTLT-BGDĐT-BLĐTBXH-BTC)</t>
  </si>
  <si>
    <t>Đề án nâng cao chất lượng giáo dục DTTD tỉnh Kon Tum</t>
  </si>
  <si>
    <t>Kinh phí hỗ trợ Trung tâm học tập cộng đồng năm 2022</t>
  </si>
  <si>
    <t>Hỗ trợ cấp bù học phí học kỳ I năm học 2021-2022 theo Nghị quyết số 48/2021/NQ-HĐND ngày 22/10/2021 của HDND tỉnh</t>
  </si>
  <si>
    <t xml:space="preserve">Mua sắm trang thiết bị dạy học, sửa chữa nhỏ </t>
  </si>
  <si>
    <t>- Sửa chữa nhà học 03 phòng, 01 nhà hiệu bộ, nhà vệ sinh trường Mầm non Ánh Dương xã Sa Bình (điểm trung tâm)</t>
  </si>
  <si>
    <t>- Sửa chữa nhà học 04 phòng trường Mầm non Sơn Ca (điểm trung tâm)</t>
  </si>
  <si>
    <t>- Sửa chữa nhà học 02 phòng, 04 phòng trường TH - THCS xã Sa Sơn (điểm trung tâm Tiểu học)</t>
  </si>
  <si>
    <t>- Sửa chữa cổng tường rào, sân bê tông trường Tiểu học Võ Thị Saú xã Hơ Moong (điểm trường thôn Đăk Yo)</t>
  </si>
  <si>
    <t>- Sửa chữa 02 dãy nhà học mỗi dãy nhà học 02 phòng (04 phòng), cổng tường rào, sân bê tông trường Mầm non Tuổi Thơ xã Hơ Moong (điểm trường thôn Đak Yo)</t>
  </si>
  <si>
    <t>- Mua sắm bàn ghế giáo viên, học sinh, bảng chống lóa năm học 2021-2022</t>
  </si>
  <si>
    <t>Nguồn NS tỉnh, NSTW bổ sung cân đối</t>
  </si>
  <si>
    <t>Kinh phí hỗ trợ ăn trưa cho trẻ Mẫu giáo từ 3-5 tuổi theo NĐ 105/NĐ-TTg</t>
  </si>
  <si>
    <t>Hỗ trợ chi phí học tập và miễm giảm học phí</t>
  </si>
  <si>
    <t>- Hỗ trợ chi phí học tập</t>
  </si>
  <si>
    <t>- Kinh phí cấp bù, miễn giảm học phí</t>
  </si>
  <si>
    <t>Tăng cường cơ sở vật chất trang thiết bị, sách giáo khoa thư viện các trường trong lộ trình xây dựng trường đạt chuẩn Quốc gia</t>
  </si>
  <si>
    <t xml:space="preserve"> NSNN đặt hàng: Dịch vụ thu gom, vận chuyển rác đến điểm tập kết và vận chuyển rác thải đến nhà máy xử lý rác Kon Tum; vận chuyển và xử lý rác tồn đọng tại bãi</t>
  </si>
</sst>
</file>

<file path=xl/styles.xml><?xml version="1.0" encoding="utf-8"?>
<styleSheet xmlns="http://schemas.openxmlformats.org/spreadsheetml/2006/main" xmlns:mc="http://schemas.openxmlformats.org/markup-compatibility/2006" xmlns:x14ac="http://schemas.microsoft.com/office/spreadsheetml/2009/9/ac" mc:Ignorable="x14ac">
  <numFmts count="155">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 _₫_-;\-* #,##0\ _₫_-;_-* &quot;-&quot;\ _₫_-;_-@_-"/>
    <numFmt numFmtId="165" formatCode="_-* #,##0.00\ _₫_-;\-* #,##0.00\ _₫_-;_-* &quot;-&quot;??\ _₫_-;_-@_-"/>
    <numFmt numFmtId="166" formatCode="_(* #,##0.000_);_(* \(#,##0.000\);_(* &quot;-&quot;??_);_(@_)"/>
    <numFmt numFmtId="167" formatCode="_(* #,##0_);_(* \(#,##0\);_(* &quot;-&quot;??_);_(@_)"/>
    <numFmt numFmtId="168" formatCode="_-&quot;€&quot;* #,##0_-;\-&quot;€&quot;* #,##0_-;_-&quot;€&quot;* &quot;-&quot;_-;_-@_-"/>
    <numFmt numFmtId="169" formatCode="&quot;\&quot;#,##0.00;[Red]&quot;\&quot;&quot;\&quot;&quot;\&quot;&quot;\&quot;&quot;\&quot;&quot;\&quot;\-#,##0.00"/>
    <numFmt numFmtId="170" formatCode="&quot;\&quot;#,##0;[Red]&quot;\&quot;&quot;\&quot;\-#,##0"/>
    <numFmt numFmtId="171" formatCode="_-* #,##0_-;\-* #,##0_-;_-* &quot;-&quot;_-;_-@_-"/>
    <numFmt numFmtId="172" formatCode="_-* #,##0.00_-;\-* #,##0.00_-;_-* &quot;-&quot;??_-;_-@_-"/>
    <numFmt numFmtId="173" formatCode="_-* #,##0\ &quot;€&quot;_-;\-* #,##0\ &quot;€&quot;_-;_-* &quot;-&quot;\ &quot;€&quot;_-;_-@_-"/>
    <numFmt numFmtId="174" formatCode="_-* #,##0\ _F_-;\-* #,##0\ _F_-;_-* &quot;-&quot;\ _F_-;_-@_-"/>
    <numFmt numFmtId="175" formatCode="_ &quot;\&quot;* #,##0_ ;_ &quot;\&quot;* \-#,##0_ ;_ &quot;\&quot;* &quot;-&quot;_ ;_ @_ "/>
    <numFmt numFmtId="176" formatCode="_ &quot;\&quot;* #,##0.00_ ;_ &quot;\&quot;* \-#,##0.00_ ;_ &quot;\&quot;* &quot;-&quot;??_ ;_ @_ "/>
    <numFmt numFmtId="177" formatCode="_ * #,##0_ ;_ * \-#,##0_ ;_ * &quot;-&quot;_ ;_ @_ "/>
    <numFmt numFmtId="178" formatCode="_ * #,##0.00_ ;_ * \-#,##0.00_ ;_ * &quot;-&quot;??_ ;_ @_ "/>
    <numFmt numFmtId="179" formatCode="0.000"/>
    <numFmt numFmtId="180" formatCode="#,##0.0_);\(#,##0.0\)"/>
    <numFmt numFmtId="181" formatCode="_(* #,##0.0000_);_(* \(#,##0.0000\);_(* &quot;-&quot;??_);_(@_)"/>
    <numFmt numFmtId="182" formatCode="0.0%;[Red]\(0.0%\)"/>
    <numFmt numFmtId="183" formatCode="_ * #,##0.00_)&quot;£&quot;_ ;_ * \(#,##0.00\)&quot;£&quot;_ ;_ * &quot;-&quot;??_)&quot;£&quot;_ ;_ @_ "/>
    <numFmt numFmtId="184" formatCode="_-&quot;$&quot;* #,##0.00_-;\-&quot;$&quot;* #,##0.00_-;_-&quot;$&quot;* &quot;-&quot;??_-;_-@_-"/>
    <numFmt numFmtId="185" formatCode="0.0%;\(0.0%\)"/>
    <numFmt numFmtId="186" formatCode="0.000_)"/>
    <numFmt numFmtId="187" formatCode="_-* #,##0.0\ _₫_-;\-* #,##0.0\ _₫_-;_-* &quot;-&quot;??\ _₫_-;_-@_-"/>
    <numFmt numFmtId="188" formatCode="_-* #,##0.00\ _V_N_D_-;\-* #,##0.00\ _V_N_D_-;_-* &quot;-&quot;??\ _V_N_D_-;_-@_-"/>
    <numFmt numFmtId="189" formatCode="_(* #,##0.0_);_(* \(#,##0.0\);_(* &quot;-&quot;?_);_(@_)"/>
    <numFmt numFmtId="190" formatCode="_(* #,##0.0_);_(* \(#,##0.0\);_(* &quot;-&quot;??_);_(@_)"/>
    <numFmt numFmtId="191" formatCode="_-* #,##0\ _₫_-;\-* #,##0\ _₫_-;_-* &quot;-&quot;??\ _₫_-;_-@_-"/>
    <numFmt numFmtId="192" formatCode="_(* #,##0.000_);_(* \(#,##0.000\);_(* &quot;-&quot;???_);_(@_)"/>
    <numFmt numFmtId="193" formatCode="&quot;C&quot;#,##0.00_);\(&quot;C&quot;#,##0.00\)"/>
    <numFmt numFmtId="194" formatCode="_ &quot;\&quot;* #,##0.00_ ;_ &quot;\&quot;* &quot;\&quot;&quot;\&quot;&quot;\&quot;&quot;\&quot;&quot;\&quot;&quot;\&quot;&quot;\&quot;&quot;\&quot;&quot;\&quot;\-#,##0.00_ ;_ &quot;\&quot;* &quot;-&quot;??_ ;_ @_ "/>
    <numFmt numFmtId="195" formatCode="&quot;C&quot;#,##0_);\(&quot;C&quot;#,##0\)"/>
    <numFmt numFmtId="196" formatCode="&quot;C&quot;#,##0_);[Red]\(&quot;C&quot;#,##0\)"/>
    <numFmt numFmtId="197" formatCode="_-[$€-2]* #,##0.00_-;\-[$€-2]* #,##0.00_-;_-[$€-2]* &quot;-&quot;??_-"/>
    <numFmt numFmtId="198" formatCode="#,###;\-#,###;&quot;&quot;;_(@_)"/>
    <numFmt numFmtId="199" formatCode="#,##0_ ;[Red]\-#,##0\ "/>
    <numFmt numFmtId="200" formatCode="#,##0\ &quot;$&quot;_);[Red]\(#,##0\ &quot;$&quot;\)"/>
    <numFmt numFmtId="201" formatCode="&quot;$&quot;###,0&quot;.&quot;00_);[Red]\(&quot;$&quot;###,0&quot;.&quot;00\)"/>
    <numFmt numFmtId="202" formatCode="&quot;\&quot;#,##0;[Red]\-&quot;\&quot;#,##0"/>
    <numFmt numFmtId="203" formatCode="&quot;\&quot;#,##0.00;\-&quot;\&quot;#,##0.00"/>
    <numFmt numFmtId="204" formatCode="#,##0.000_);\(#,##0.000\)"/>
    <numFmt numFmtId="205" formatCode="#,##0.00\ &quot;F&quot;;[Red]\-#,##0.00\ &quot;F&quot;"/>
    <numFmt numFmtId="206" formatCode="#,##0\ &quot;F&quot;;\-#,##0\ &quot;F&quot;"/>
    <numFmt numFmtId="207" formatCode="#,##0\ &quot;F&quot;;[Red]\-#,##0\ &quot;F&quot;"/>
    <numFmt numFmtId="208" formatCode="_-* #,##0\ &quot;F&quot;_-;\-* #,##0\ &quot;F&quot;_-;_-* &quot;-&quot;\ &quot;F&quot;_-;_-@_-"/>
    <numFmt numFmtId="209" formatCode="0.000\ "/>
    <numFmt numFmtId="210" formatCode="#,##0\ &quot;Lt&quot;;[Red]\-#,##0\ &quot;Lt&quot;"/>
    <numFmt numFmtId="211" formatCode="#,##0.00\ &quot;F&quot;;\-#,##0.00\ &quot;F&quot;"/>
    <numFmt numFmtId="212" formatCode="_-* #,##0\ &quot;DM&quot;_-;\-* #,##0\ &quot;DM&quot;_-;_-* &quot;-&quot;\ &quot;DM&quot;_-;_-@_-"/>
    <numFmt numFmtId="213" formatCode="_-* #,##0.00\ &quot;DM&quot;_-;\-* #,##0.00\ &quot;DM&quot;_-;_-* &quot;-&quot;??\ &quot;DM&quot;_-;_-@_-"/>
    <numFmt numFmtId="214" formatCode="&quot;\&quot;#,##0.00;[Red]&quot;\&quot;\-#,##0.00"/>
    <numFmt numFmtId="215" formatCode="&quot;\&quot;#,##0;[Red]&quot;\&quot;\-#,##0"/>
    <numFmt numFmtId="216" formatCode="_-&quot;$&quot;* #,##0_-;\-&quot;$&quot;* #,##0_-;_-&quot;$&quot;* &quot;-&quot;_-;_-@_-"/>
    <numFmt numFmtId="217" formatCode="_-* #,##0.000_-;\-* #,##0.000_-;_-* &quot;-&quot;??_-;_-@_-"/>
    <numFmt numFmtId="218" formatCode="_-* #,##0.00\ _€_-;\-* #,##0.00\ _€_-;_-* &quot;-&quot;??\ _€_-;_-@_-"/>
    <numFmt numFmtId="219" formatCode="_(* #,##0_);_(* \(#,##0\);_(* \-??_);_(@_)"/>
    <numFmt numFmtId="220" formatCode="&quot;€&quot;###,0&quot;.&quot;00_);\(&quot;€&quot;###,0&quot;.&quot;00\)"/>
    <numFmt numFmtId="221" formatCode="_-&quot;£&quot;* #,##0_-;\-&quot;£&quot;* #,##0_-;_-&quot;£&quot;* &quot;-&quot;_-;_-@_-"/>
    <numFmt numFmtId="222" formatCode="_-&quot;£&quot;* #,##0.00_-;\-&quot;£&quot;* #,##0.00_-;_-&quot;£&quot;* &quot;-&quot;??_-;_-@_-"/>
    <numFmt numFmtId="223" formatCode="#.##00"/>
    <numFmt numFmtId="224" formatCode="_-* #,##0&quot;$&quot;_-;_-* #,##0&quot;$&quot;\-;_-* &quot;-&quot;&quot;$&quot;_-;_-@_-"/>
    <numFmt numFmtId="225" formatCode="_-* #,##0\ &quot;$&quot;_-;\-* #,##0\ &quot;$&quot;_-;_-* &quot;-&quot;\ &quot;$&quot;_-;_-@_-"/>
    <numFmt numFmtId="226" formatCode="_-* #,##0_-;\-* #,##0_-;_-* &quot;-&quot;??_-;_-@_-"/>
    <numFmt numFmtId="227" formatCode="_-&quot;ñ&quot;* #,##0_-;\-&quot;ñ&quot;* #,##0_-;_-&quot;ñ&quot;* &quot;-&quot;_-;_-@_-"/>
    <numFmt numFmtId="228" formatCode="0.0000"/>
    <numFmt numFmtId="229" formatCode="_-* ###,0&quot;.&quot;00_-;\-* ###,0&quot;.&quot;00_-;_-* &quot;-&quot;??_-;_-@_-"/>
    <numFmt numFmtId="230" formatCode="_-* #,##0.00\ _F_-;\-* #,##0.00\ _F_-;_-* &quot;-&quot;??\ _F_-;_-@_-"/>
    <numFmt numFmtId="231" formatCode="_-* #,##0.00\ _V_N_Ñ_-;_-* #,##0.00\ _V_N_Ñ\-;_-* &quot;-&quot;??\ _V_N_Ñ_-;_-@_-"/>
    <numFmt numFmtId="232" formatCode="_-* #,##0.00_$_-;_-* #,##0.00_$\-;_-* &quot;-&quot;??_$_-;_-@_-"/>
    <numFmt numFmtId="233" formatCode="_(* ###,0&quot;.&quot;00_);_(* \(###,0&quot;.&quot;00\);_(* &quot;-&quot;??_);_(@_)"/>
    <numFmt numFmtId="234" formatCode="&quot;£&quot;#,##0;[Red]\-&quot;£&quot;#,##0"/>
    <numFmt numFmtId="235" formatCode="_-* #,##0.00\ _ñ_-;\-* #,##0.00\ _ñ_-;_-* &quot;-&quot;??\ _ñ_-;_-@_-"/>
    <numFmt numFmtId="236" formatCode="0.00000"/>
    <numFmt numFmtId="237" formatCode="_(&quot;£&quot;\ * #,##0_);_(&quot;£&quot;\ * \(#,##0\);_(&quot;£&quot;\ * &quot;-&quot;_);_(@_)"/>
    <numFmt numFmtId="238" formatCode="&quot;$&quot;#,##0;[Red]\-&quot;$&quot;#,##0"/>
    <numFmt numFmtId="239" formatCode="_(&quot;$&quot;\ * #,##0_);_(&quot;$&quot;\ * \(#,##0\);_(&quot;$&quot;\ * &quot;-&quot;_);_(@_)"/>
    <numFmt numFmtId="240" formatCode="&quot;$&quot;#,##0.00;[Red]\-&quot;$&quot;#,##0.00"/>
    <numFmt numFmtId="241" formatCode="_-* #,##0\ &quot;ñ&quot;_-;\-* #,##0\ &quot;ñ&quot;_-;_-* &quot;-&quot;\ &quot;ñ&quot;_-;_-@_-"/>
    <numFmt numFmtId="242" formatCode="0.0000000"/>
    <numFmt numFmtId="243" formatCode="#,##0.0"/>
    <numFmt numFmtId="244" formatCode="_(&quot;€&quot;* #,##0_);_(&quot;€&quot;* \(#,##0\);_(&quot;€&quot;* &quot;-&quot;_);_(@_)"/>
    <numFmt numFmtId="245" formatCode="_-* #,##0\ _V_N_D_-;\-* #,##0\ _V_N_D_-;_-* &quot;-&quot;\ _V_N_D_-;_-@_-"/>
    <numFmt numFmtId="246" formatCode="_-* #,##0\ _V_N_Ñ_-;_-* #,##0\ _V_N_Ñ\-;_-* &quot;-&quot;\ _V_N_Ñ_-;_-@_-"/>
    <numFmt numFmtId="247" formatCode="_-* #,##0\ _€_-;\-* #,##0\ _€_-;_-* &quot;-&quot;\ _€_-;_-@_-"/>
    <numFmt numFmtId="248" formatCode="_-* #,##0_$_-;_-* #,##0_$\-;_-* &quot;-&quot;_$_-;_-@_-"/>
    <numFmt numFmtId="249" formatCode="_-* #,##0\ _$_-;\-* #,##0\ _$_-;_-* &quot;-&quot;\ _$_-;_-@_-"/>
    <numFmt numFmtId="250" formatCode="_-* #,##0\ _m_k_-;\-* #,##0\ _m_k_-;_-* &quot;-&quot;\ _m_k_-;_-@_-"/>
    <numFmt numFmtId="251" formatCode="&quot;£&quot;#,##0;\-&quot;£&quot;#,##0"/>
    <numFmt numFmtId="252" formatCode="_-* #,##0\ _ñ_-;\-* #,##0\ _ñ_-;_-* &quot;-&quot;\ _ñ_-;_-@_-"/>
    <numFmt numFmtId="253" formatCode="0.000000"/>
    <numFmt numFmtId="254" formatCode="#,##0.0_);[Red]\(#,##0.0\)"/>
    <numFmt numFmtId="255" formatCode="&quot;SFr.&quot;\ #,##0.00;[Red]&quot;SFr.&quot;\ \-#,##0.00"/>
    <numFmt numFmtId="256" formatCode="_ &quot;SFr.&quot;\ * #,##0_ ;_ &quot;SFr.&quot;\ * \-#,##0_ ;_ &quot;SFr.&quot;\ * &quot;-&quot;_ ;_ @_ "/>
    <numFmt numFmtId="257" formatCode="_-* #,##0.00\ &quot;F&quot;_-;\-* #,##0.00\ &quot;F&quot;_-;_-* &quot;-&quot;??\ &quot;F&quot;_-;_-@_-"/>
    <numFmt numFmtId="258" formatCode="_(* #,##0_);_(* \(#,##0\);_(* \-_);_(@_)"/>
    <numFmt numFmtId="259" formatCode="#,##0.00;[Red]#,##0.00"/>
    <numFmt numFmtId="260" formatCode="#,##0;\(#,##0\)"/>
    <numFmt numFmtId="261" formatCode="_ &quot;R&quot;\ * #,##0_ ;_ &quot;R&quot;\ * \-#,##0_ ;_ &quot;R&quot;\ * &quot;-&quot;_ ;_ @_ "/>
    <numFmt numFmtId="262" formatCode="\$#,##0\ ;\(\$#,##0\)"/>
    <numFmt numFmtId="263" formatCode="_-* #,##0.0000\ _F_-;\-* #,##0.0000\ _F_-;_-* &quot;-&quot;??\ _F_-;_-@_-"/>
    <numFmt numFmtId="264" formatCode="\t0.00%"/>
    <numFmt numFmtId="265" formatCode="?\,???.??__;[Red]&quot;- &quot;?\,???.??__"/>
    <numFmt numFmtId="266" formatCode="?,???.??__;[Red]\-\ ?,???.??__;"/>
    <numFmt numFmtId="267" formatCode="\U\S\$#,##0.00;\(\U\S\$#,##0.00\)"/>
    <numFmt numFmtId="268" formatCode="_(\§\g\ #,##0_);_(\§\g\ \(#,##0\);_(\§\g\ &quot;-&quot;??_);_(@_)"/>
    <numFmt numFmtId="269" formatCode="_(\§\g\ #,##0_);_(\§\g\ \(#,##0\);_(\§\g\ &quot;-&quot;_);_(@_)"/>
    <numFmt numFmtId="270" formatCode="\t#\ ??/??"/>
    <numFmt numFmtId="271" formatCode="\§\g#,##0_);\(\§\g#,##0\)"/>
    <numFmt numFmtId="272" formatCode="_-&quot;VND&quot;* #,##0_-;\-&quot;VND&quot;* #,##0_-;_-&quot;VND&quot;* &quot;-&quot;_-;_-@_-"/>
    <numFmt numFmtId="273" formatCode="_(&quot;Rp&quot;* #,##0.00_);_(&quot;Rp&quot;* \(#,##0.00\);_(&quot;Rp&quot;* &quot;-&quot;??_);_(@_)"/>
    <numFmt numFmtId="274" formatCode="#,##0.00\ &quot;FB&quot;;[Red]\-#,##0.00\ &quot;FB&quot;"/>
    <numFmt numFmtId="275" formatCode="#,##0\ &quot;$&quot;;\-#,##0\ &quot;$&quot;"/>
    <numFmt numFmtId="276" formatCode="&quot;$&quot;#,##0;\-&quot;$&quot;#,##0"/>
    <numFmt numFmtId="277" formatCode="_-* #,##0\ _F_B_-;\-* #,##0\ _F_B_-;_-* &quot;-&quot;\ _F_B_-;_-@_-"/>
    <numFmt numFmtId="278" formatCode="_-[$€]* #,##0.00_-;\-[$€]* #,##0.00_-;_-[$€]* &quot;-&quot;??_-;_-@_-"/>
    <numFmt numFmtId="279" formatCode="&quot;öS&quot;\ #,##0;[Red]\-&quot;öS&quot;\ #,##0"/>
    <numFmt numFmtId="280" formatCode="&quot;Q&quot;#,##0_);\(&quot;Q&quot;#,##0\)"/>
    <numFmt numFmtId="281" formatCode="#,##0_);\-#,##0_)"/>
    <numFmt numFmtId="282" formatCode="#,##0\ &quot;$&quot;_);\(#,##0\ &quot;$&quot;\)"/>
    <numFmt numFmtId="283" formatCode="_ * #,##0_)\ &quot;$&quot;_ ;_ * \(#,##0\)\ &quot;$&quot;_ ;_ * &quot;-&quot;_)\ &quot;$&quot;_ ;_ @_ "/>
    <numFmt numFmtId="284" formatCode="&quot;VND&quot;#,##0_);[Red]\(&quot;VND&quot;#,##0\)"/>
    <numFmt numFmtId="285" formatCode="_ * #,##0_)&quot; $&quot;_ ;_ * \(#,##0&quot;) $&quot;_ ;_ * \-_)&quot; $&quot;_ ;_ @_ "/>
    <numFmt numFmtId="286" formatCode="#,##0.00_);\-#,##0.00_)"/>
    <numFmt numFmtId="287" formatCode="#"/>
    <numFmt numFmtId="288" formatCode="#,##0.0000"/>
    <numFmt numFmtId="289" formatCode="&quot;¡Ì&quot;#,##0;[Red]\-&quot;¡Ì&quot;#,##0"/>
    <numFmt numFmtId="290" formatCode="#,##0.00&quot; F&quot;;[Red]\-#,##0.00&quot; F&quot;"/>
    <numFmt numFmtId="291" formatCode="_-* #,##0.0\ _F_-;\-* #,##0.0\ _F_-;_-* &quot;-&quot;??\ _F_-;_-@_-"/>
    <numFmt numFmtId="292" formatCode="#,##0.00\ \ "/>
    <numFmt numFmtId="293" formatCode="0.00000000"/>
    <numFmt numFmtId="294" formatCode="_ * #,##0.0_ ;_ * \-#,##0.0_ ;_ * &quot;-&quot;??_ ;_ @_ "/>
    <numFmt numFmtId="295" formatCode="#,##0.00\ \ \ \ "/>
    <numFmt numFmtId="296" formatCode="_(* #.##0.00_);_(* \(#.##0.00\);_(* &quot;-&quot;??_);_(@_)"/>
    <numFmt numFmtId="297" formatCode="###\ ###\ ##0"/>
    <numFmt numFmtId="298" formatCode="&quot;\&quot;#,##0;&quot;\&quot;\-#,##0"/>
    <numFmt numFmtId="299" formatCode="_-* ###,0&quot;.&quot;00\ _F_B_-;\-* ###,0&quot;.&quot;00\ _F_B_-;_-* &quot;-&quot;??\ _F_B_-;_-@_-"/>
    <numFmt numFmtId="300" formatCode="\\#,##0;[Red]&quot;-\&quot;#,##0"/>
    <numFmt numFmtId="301" formatCode="_ * #.##._ ;_ * \-#.##._ ;_ * &quot;-&quot;??_ ;_ @_ⴆ"/>
    <numFmt numFmtId="302" formatCode="_-* #,##0\ _F_-;\-* #,##0\ _F_-;_-* &quot;-&quot;??\ _F_-;_-@_-"/>
    <numFmt numFmtId="303" formatCode="#,###"/>
    <numFmt numFmtId="304" formatCode="#,##0.000"/>
    <numFmt numFmtId="305" formatCode="_(* #,##0.000000_);_(* \(#,##0.000000\);_(* &quot;-&quot;??_);_(@_)"/>
    <numFmt numFmtId="306" formatCode="_-* #,##0.000\ _₫_-;\-* #,##0.000\ _₫_-;_-* &quot;-&quot;??\ _₫_-;_-@_-"/>
    <numFmt numFmtId="307" formatCode="_-* #,##0.000\ _₫_-;\-* #,##0.000\ _₫_-;_-* &quot;-&quot;???\ _₫_-;_-@_-"/>
    <numFmt numFmtId="308" formatCode="0.0%"/>
    <numFmt numFmtId="309" formatCode="_(* #,##0.00000_);_(* \(#,##0.00000\);_(* &quot;-&quot;??_);_(@_)"/>
    <numFmt numFmtId="310" formatCode="#,##0_ ;\-#,##0\ "/>
    <numFmt numFmtId="311" formatCode="_-* #,##0.000\ _€_-;\-* #,##0.000\ _€_-;_-* &quot;-&quot;??\ _€_-;_-@_-"/>
    <numFmt numFmtId="312" formatCode="_-* #,##0\ _€_-;\-* #,##0\ _€_-;_-* &quot;-&quot;??\ _€_-;_-@_-"/>
  </numFmts>
  <fonts count="259">
    <font>
      <sz val="11"/>
      <color theme="1"/>
      <name val="times new roman"/>
      <family val="2"/>
      <charset val="163"/>
    </font>
    <font>
      <b/>
      <sz val="11"/>
      <name val="Times New Roman"/>
      <family val="1"/>
    </font>
    <font>
      <b/>
      <sz val="12"/>
      <name val="Times New Roman"/>
      <family val="1"/>
    </font>
    <font>
      <i/>
      <sz val="11"/>
      <name val="Times New Roman"/>
      <family val="1"/>
    </font>
    <font>
      <sz val="12"/>
      <name val="VNI-Times"/>
    </font>
    <font>
      <sz val="12"/>
      <name val=".VnTime"/>
      <family val="2"/>
    </font>
    <font>
      <sz val="12"/>
      <name val="돋움체"/>
      <family val="3"/>
      <charset val="129"/>
    </font>
    <font>
      <sz val="10"/>
      <name val="Arial"/>
      <family val="2"/>
    </font>
    <font>
      <sz val="12"/>
      <name val="????"/>
      <family val="1"/>
      <charset val="136"/>
    </font>
    <font>
      <sz val="12"/>
      <name val="Courier"/>
      <family val="3"/>
    </font>
    <font>
      <sz val="12"/>
      <name val="???"/>
      <family val="1"/>
      <charset val="129"/>
    </font>
    <font>
      <sz val="12"/>
      <name val="|??¢¥¢¬¨Ï"/>
      <family val="1"/>
      <charset val="129"/>
    </font>
    <font>
      <sz val="10"/>
      <name val="VNI-Times"/>
    </font>
    <font>
      <sz val="10"/>
      <name val="MS Sans Serif"/>
      <family val="2"/>
    </font>
    <font>
      <sz val="10"/>
      <color indexed="8"/>
      <name val="Arial"/>
      <family val="2"/>
    </font>
    <font>
      <sz val="10"/>
      <name val="Helv"/>
      <family val="2"/>
    </font>
    <font>
      <sz val="11"/>
      <name val="VNI-Aptima"/>
    </font>
    <font>
      <sz val="12"/>
      <name val="???"/>
    </font>
    <font>
      <sz val="14"/>
      <name val="VnTime"/>
    </font>
    <font>
      <b/>
      <u/>
      <sz val="14"/>
      <color indexed="8"/>
      <name val=".VnBook-AntiquaH"/>
      <family val="2"/>
    </font>
    <font>
      <i/>
      <sz val="12"/>
      <color indexed="8"/>
      <name val=".VnBook-AntiquaH"/>
      <family val="2"/>
    </font>
    <font>
      <b/>
      <sz val="12"/>
      <color indexed="8"/>
      <name val=".VnBook-Antiqua"/>
      <family val="2"/>
    </font>
    <font>
      <i/>
      <sz val="12"/>
      <color indexed="8"/>
      <name val=".VnBook-Antiqua"/>
      <family val="2"/>
    </font>
    <font>
      <sz val="10"/>
      <name val=".VnTime"/>
      <family val="2"/>
    </font>
    <font>
      <sz val="12"/>
      <name val="±¼¸²Ã¼"/>
      <family val="3"/>
      <charset val="129"/>
    </font>
    <font>
      <sz val="12"/>
      <name val="¹UAAA¼"/>
      <family val="3"/>
      <charset val="129"/>
    </font>
    <font>
      <sz val="11"/>
      <name val="±¼¸²Ã¼"/>
      <family val="3"/>
      <charset val="129"/>
    </font>
    <font>
      <sz val="8"/>
      <name val="Times New Roman"/>
      <family val="1"/>
    </font>
    <font>
      <sz val="12"/>
      <name val="Tms Rmn"/>
    </font>
    <font>
      <sz val="12"/>
      <name val="µ¸¿òÃ¼"/>
      <family val="3"/>
      <charset val="129"/>
    </font>
    <font>
      <sz val="10"/>
      <name val="±¼¸²A¼"/>
      <family val="3"/>
      <charset val="129"/>
    </font>
    <font>
      <sz val="10"/>
      <name val="Arial"/>
      <family val="2"/>
      <charset val="163"/>
    </font>
    <font>
      <sz val="10"/>
      <name val="Helv"/>
    </font>
    <font>
      <b/>
      <sz val="10"/>
      <name val="Helv"/>
    </font>
    <font>
      <sz val="10"/>
      <name val=".VnArial"/>
      <family val="2"/>
    </font>
    <font>
      <sz val="11"/>
      <name val="Tms Rmn"/>
    </font>
    <font>
      <sz val="11"/>
      <color indexed="8"/>
      <name val="Calibri"/>
      <family val="2"/>
    </font>
    <font>
      <sz val="12"/>
      <name val=".VnArial Narrow"/>
      <family val="2"/>
    </font>
    <font>
      <sz val="11"/>
      <color indexed="8"/>
      <name val="times new roman"/>
      <family val="2"/>
      <charset val="163"/>
    </font>
    <font>
      <sz val="11"/>
      <color indexed="8"/>
      <name val="Calibri"/>
      <family val="2"/>
      <charset val="163"/>
    </font>
    <font>
      <sz val="10"/>
      <name val="MS Serif"/>
      <family val="1"/>
    </font>
    <font>
      <sz val="10"/>
      <name val="Arial CE"/>
      <charset val="238"/>
    </font>
    <font>
      <sz val="10"/>
      <color indexed="16"/>
      <name val="MS Serif"/>
      <family val="1"/>
    </font>
    <font>
      <sz val="10"/>
      <color indexed="8"/>
      <name val="Arial"/>
      <family val="2"/>
      <charset val="1"/>
    </font>
    <font>
      <sz val="8"/>
      <name val="Arial"/>
      <family val="2"/>
      <charset val="163"/>
    </font>
    <font>
      <sz val="13"/>
      <name val=".VnTime"/>
      <family val="2"/>
    </font>
    <font>
      <b/>
      <sz val="12"/>
      <color indexed="9"/>
      <name val="Tms Rmn"/>
    </font>
    <font>
      <b/>
      <sz val="12"/>
      <name val="Helv"/>
    </font>
    <font>
      <b/>
      <sz val="12"/>
      <name val="Arial"/>
      <family val="2"/>
    </font>
    <font>
      <b/>
      <sz val="18"/>
      <name val="Arial"/>
      <family val="2"/>
    </font>
    <font>
      <b/>
      <sz val="8"/>
      <name val="MS Sans Serif"/>
      <family val="2"/>
    </font>
    <font>
      <b/>
      <sz val="10"/>
      <name val=".VnTime"/>
      <family val="2"/>
    </font>
    <font>
      <b/>
      <sz val="14"/>
      <name val=".VnTimeH"/>
      <family val="2"/>
    </font>
    <font>
      <sz val="12"/>
      <name val="Arial"/>
      <family val="2"/>
    </font>
    <font>
      <b/>
      <sz val="11"/>
      <name val="Helv"/>
    </font>
    <font>
      <sz val="10"/>
      <name val="Times New Roman"/>
      <family val="1"/>
    </font>
    <font>
      <sz val="7"/>
      <name val="Small Fonts"/>
      <family val="2"/>
    </font>
    <font>
      <sz val="13"/>
      <name val="Times New Roman"/>
      <family val="1"/>
    </font>
    <font>
      <sz val="14"/>
      <name val="Times New Roman"/>
      <family val="1"/>
    </font>
    <font>
      <sz val="9"/>
      <name val="Arial"/>
      <family val="2"/>
    </font>
    <font>
      <sz val="12"/>
      <color indexed="8"/>
      <name val="Times New Roman"/>
      <family val="2"/>
      <charset val="163"/>
    </font>
    <font>
      <sz val="11"/>
      <name val="–¾’©"/>
      <family val="1"/>
      <charset val="128"/>
    </font>
    <font>
      <b/>
      <sz val="11"/>
      <name val="Arial"/>
      <family val="2"/>
    </font>
    <font>
      <sz val="12"/>
      <name val="Helv"/>
    </font>
    <font>
      <b/>
      <sz val="10"/>
      <name val="MS Sans Serif"/>
      <family val="2"/>
    </font>
    <font>
      <sz val="8"/>
      <name val="Wingdings"/>
      <charset val="2"/>
    </font>
    <font>
      <sz val="8"/>
      <name val="Helv"/>
    </font>
    <font>
      <b/>
      <sz val="12"/>
      <color indexed="8"/>
      <name val="Arial"/>
      <family val="2"/>
    </font>
    <font>
      <b/>
      <i/>
      <sz val="12"/>
      <color indexed="8"/>
      <name val="Arial"/>
      <family val="2"/>
    </font>
    <font>
      <sz val="12"/>
      <color indexed="8"/>
      <name val="Arial"/>
      <family val="2"/>
    </font>
    <font>
      <i/>
      <sz val="12"/>
      <color indexed="8"/>
      <name val="Arial"/>
      <family val="2"/>
    </font>
    <font>
      <sz val="19"/>
      <color indexed="48"/>
      <name val="Arial"/>
      <family val="2"/>
    </font>
    <font>
      <sz val="12"/>
      <color indexed="14"/>
      <name val="Arial"/>
      <family val="2"/>
    </font>
    <font>
      <sz val="8"/>
      <name val="MS Sans Serif"/>
      <family val="2"/>
    </font>
    <font>
      <sz val="8"/>
      <name val="Tms Rmn"/>
    </font>
    <font>
      <b/>
      <sz val="8"/>
      <color indexed="8"/>
      <name val="Helv"/>
    </font>
    <font>
      <b/>
      <sz val="13"/>
      <color indexed="8"/>
      <name val=".VnTimeH"/>
      <family val="2"/>
    </font>
    <font>
      <sz val="10"/>
      <name val=".VnAvant"/>
      <family val="2"/>
    </font>
    <font>
      <sz val="14"/>
      <name val="VnTime"/>
      <family val="2"/>
    </font>
    <font>
      <b/>
      <sz val="8"/>
      <name val="VN Helvetica"/>
    </font>
    <font>
      <b/>
      <sz val="12"/>
      <name val=".VnTime"/>
      <family val="2"/>
    </font>
    <font>
      <b/>
      <sz val="10"/>
      <name val="VN AvantGBook"/>
    </font>
    <font>
      <b/>
      <sz val="16"/>
      <name val=".VnTime"/>
      <family val="2"/>
    </font>
    <font>
      <sz val="9"/>
      <name val=".VnTime"/>
      <family val="2"/>
    </font>
    <font>
      <sz val="14"/>
      <name val=".VnArial"/>
      <family val="2"/>
    </font>
    <font>
      <sz val="10"/>
      <name val=" "/>
      <family val="1"/>
      <charset val="136"/>
    </font>
    <font>
      <sz val="12"/>
      <name val="Times New Roman"/>
      <family val="1"/>
    </font>
    <font>
      <sz val="14"/>
      <name val="뼻뮝"/>
      <family val="3"/>
      <charset val="129"/>
    </font>
    <font>
      <sz val="12"/>
      <name val="뼻뮝"/>
      <family val="1"/>
      <charset val="129"/>
    </font>
    <font>
      <sz val="10"/>
      <name val="명조"/>
      <family val="3"/>
      <charset val="129"/>
    </font>
    <font>
      <sz val="12"/>
      <name val="바탕체"/>
      <family val="1"/>
      <charset val="129"/>
    </font>
    <font>
      <sz val="11"/>
      <color indexed="8"/>
      <name val="Arial"/>
      <family val="2"/>
      <charset val="163"/>
    </font>
    <font>
      <sz val="14"/>
      <name val=".VnTime"/>
      <family val="2"/>
    </font>
    <font>
      <sz val="12"/>
      <name val="VNtimes new roman"/>
      <family val="2"/>
    </font>
    <font>
      <sz val="12"/>
      <name val="Arial Narrow"/>
      <family val="2"/>
    </font>
    <font>
      <sz val="12"/>
      <name val=".VnArial"/>
      <family val="2"/>
    </font>
    <font>
      <sz val="10"/>
      <name val="??"/>
      <family val="3"/>
      <charset val="129"/>
    </font>
    <font>
      <sz val="16"/>
      <name val="AngsanaUPC"/>
      <family val="3"/>
    </font>
    <font>
      <sz val="10"/>
      <name val="AngsanaUPC"/>
      <family val="1"/>
    </font>
    <font>
      <sz val="10"/>
      <name val="VNtimes new roman"/>
      <family val="2"/>
    </font>
    <font>
      <sz val="10"/>
      <name val="VNI-Helve"/>
    </font>
    <font>
      <sz val="11"/>
      <name val="‚l‚r ‚oƒSƒVƒbƒN"/>
      <family val="3"/>
      <charset val="128"/>
    </font>
    <font>
      <sz val="14"/>
      <name val="Terminal"/>
      <family val="3"/>
      <charset val="128"/>
    </font>
    <font>
      <b/>
      <sz val="10"/>
      <name val=".VnTimeH"/>
      <family val="2"/>
    </font>
    <font>
      <sz val="11"/>
      <name val=".VnTime"/>
      <family val="2"/>
    </font>
    <font>
      <b/>
      <u/>
      <sz val="10"/>
      <name val="VNI-Times"/>
    </font>
    <font>
      <b/>
      <sz val="10"/>
      <name val=".VnArial"/>
      <family val="2"/>
    </font>
    <font>
      <sz val="10"/>
      <name val="VnTimes"/>
    </font>
    <font>
      <sz val="12"/>
      <color indexed="10"/>
      <name val=".VnArial Narrow"/>
      <family val="2"/>
    </font>
    <font>
      <sz val="12"/>
      <color indexed="8"/>
      <name val="¹ÙÅÁÃ¼"/>
      <family val="1"/>
      <charset val="129"/>
    </font>
    <font>
      <sz val="12"/>
      <color indexed="8"/>
      <name val="Arial Narrow"/>
      <family val="2"/>
    </font>
    <font>
      <sz val="12"/>
      <color indexed="9"/>
      <name val="Arial Narrow"/>
      <family val="2"/>
    </font>
    <font>
      <sz val="11"/>
      <color indexed="9"/>
      <name val="Calibri"/>
      <family val="2"/>
    </font>
    <font>
      <b/>
      <sz val="12"/>
      <color indexed="63"/>
      <name val="VNI-Times"/>
    </font>
    <font>
      <sz val="12"/>
      <name val="¹ÙÅÁÃ¼"/>
      <charset val="129"/>
    </font>
    <font>
      <sz val="12"/>
      <color indexed="20"/>
      <name val="Arial Narrow"/>
      <family val="2"/>
    </font>
    <font>
      <b/>
      <sz val="12"/>
      <color indexed="52"/>
      <name val="Arial Narrow"/>
      <family val="2"/>
    </font>
    <font>
      <b/>
      <sz val="12"/>
      <color indexed="9"/>
      <name val="Arial Narrow"/>
      <family val="2"/>
    </font>
    <font>
      <sz val="11"/>
      <name val="VNbook-Antiqua"/>
      <family val="2"/>
    </font>
    <font>
      <sz val="10"/>
      <name val="VNI-Aptima"/>
    </font>
    <font>
      <sz val="11"/>
      <name val="VNtimes new roman"/>
      <family val="2"/>
    </font>
    <font>
      <sz val="10"/>
      <name val="BERNHARD"/>
    </font>
    <font>
      <b/>
      <sz val="12"/>
      <name val="VNTime"/>
      <family val="2"/>
    </font>
    <font>
      <b/>
      <sz val="11"/>
      <color indexed="63"/>
      <name val="Calibri"/>
      <family val="2"/>
    </font>
    <font>
      <sz val="11"/>
      <color indexed="62"/>
      <name val="Calibri"/>
      <family val="2"/>
    </font>
    <font>
      <b/>
      <sz val="12"/>
      <name val="VNTimeH"/>
      <family val="2"/>
    </font>
    <font>
      <b/>
      <sz val="15"/>
      <color indexed="56"/>
      <name val="Calibri"/>
      <family val="2"/>
    </font>
    <font>
      <b/>
      <sz val="13"/>
      <color indexed="56"/>
      <name val="Calibri"/>
      <family val="2"/>
    </font>
    <font>
      <b/>
      <sz val="11"/>
      <color indexed="56"/>
      <name val="Calibri"/>
      <family val="2"/>
    </font>
    <font>
      <sz val="1"/>
      <color indexed="8"/>
      <name val="Courier"/>
      <family val="1"/>
    </font>
    <font>
      <b/>
      <sz val="1"/>
      <color indexed="8"/>
      <name val="Courier"/>
      <family val="1"/>
    </font>
    <font>
      <sz val="14"/>
      <name val="VNtimes new roman"/>
      <family val="2"/>
    </font>
    <font>
      <i/>
      <sz val="12"/>
      <color indexed="23"/>
      <name val="Arial Narrow"/>
      <family val="2"/>
    </font>
    <font>
      <b/>
      <sz val="16"/>
      <color indexed="16"/>
      <name val="VNbritannic"/>
      <family val="2"/>
    </font>
    <font>
      <b/>
      <sz val="18"/>
      <color indexed="12"/>
      <name val="VNbritannic"/>
      <family val="2"/>
    </font>
    <font>
      <b/>
      <sz val="18"/>
      <name val="VNnew Century Cond"/>
      <family val="2"/>
    </font>
    <font>
      <b/>
      <sz val="20"/>
      <color indexed="12"/>
      <name val="VNnew Century Cond"/>
      <family val="2"/>
    </font>
    <font>
      <b/>
      <sz val="16"/>
      <name val="VNlucida sans"/>
      <family val="2"/>
    </font>
    <font>
      <b/>
      <sz val="18"/>
      <color indexed="10"/>
      <name val="VNnew Century Cond"/>
      <family val="2"/>
    </font>
    <font>
      <b/>
      <sz val="16"/>
      <color indexed="14"/>
      <name val="VNottawa"/>
      <family val="2"/>
    </font>
    <font>
      <sz val="8"/>
      <color indexed="8"/>
      <name val="Helvetica"/>
      <family val="2"/>
    </font>
    <font>
      <sz val="12"/>
      <name val="VNTime"/>
      <family val="2"/>
    </font>
    <font>
      <sz val="12"/>
      <color indexed="17"/>
      <name val="Arial Narrow"/>
      <family val="2"/>
    </font>
    <font>
      <sz val="10"/>
      <name val=".VnArialH"/>
      <family val="2"/>
    </font>
    <font>
      <b/>
      <sz val="12"/>
      <name val=".VnBook-AntiquaH"/>
      <family val="2"/>
    </font>
    <font>
      <b/>
      <sz val="11"/>
      <color indexed="56"/>
      <name val="Arial Narrow"/>
      <family val="2"/>
    </font>
    <font>
      <sz val="10"/>
      <name val="vnTimesRoman"/>
    </font>
    <font>
      <sz val="12"/>
      <color indexed="62"/>
      <name val="Arial Narrow"/>
      <family val="2"/>
    </font>
    <font>
      <u/>
      <sz val="10"/>
      <color indexed="12"/>
      <name val=".VnTime"/>
      <family val="2"/>
    </font>
    <font>
      <u/>
      <sz val="12"/>
      <color indexed="12"/>
      <name val=".VnTime"/>
      <family val="2"/>
    </font>
    <font>
      <u/>
      <sz val="12"/>
      <color indexed="12"/>
      <name val="Arial"/>
      <family val="2"/>
    </font>
    <font>
      <sz val="10"/>
      <name val="VNI-Avo"/>
    </font>
    <font>
      <b/>
      <sz val="11"/>
      <color indexed="9"/>
      <name val="Calibri"/>
      <family val="2"/>
    </font>
    <font>
      <b/>
      <sz val="14"/>
      <name val=".VnArialH"/>
      <family val="2"/>
    </font>
    <font>
      <sz val="12"/>
      <color indexed="52"/>
      <name val="Arial Narrow"/>
      <family val="2"/>
    </font>
    <font>
      <sz val="8"/>
      <name val="VNarial"/>
      <family val="2"/>
    </font>
    <font>
      <sz val="12"/>
      <color indexed="60"/>
      <name val="Arial Narrow"/>
      <family val="2"/>
    </font>
    <font>
      <b/>
      <sz val="12"/>
      <name val="VN-NTime"/>
    </font>
    <font>
      <sz val="11"/>
      <color indexed="8"/>
      <name val="Helvetica Neue"/>
    </font>
    <font>
      <sz val="10"/>
      <name val="VNlucida sans"/>
      <family val="2"/>
    </font>
    <font>
      <sz val="11"/>
      <color indexed="52"/>
      <name val="Calibri"/>
      <family val="2"/>
    </font>
    <font>
      <b/>
      <sz val="12"/>
      <color indexed="63"/>
      <name val="Arial Narrow"/>
      <family val="2"/>
    </font>
    <font>
      <sz val="14"/>
      <name val=".VnArial Narrow"/>
      <family val="2"/>
    </font>
    <font>
      <sz val="12"/>
      <color indexed="8"/>
      <name val="Times New Roman"/>
      <family val="1"/>
    </font>
    <font>
      <sz val="11"/>
      <name val="3C_Times_T"/>
    </font>
    <font>
      <b/>
      <sz val="10.5"/>
      <name val=".VnAvantH"/>
      <family val="2"/>
    </font>
    <font>
      <sz val="10"/>
      <name val="VNbook-Antiqua"/>
    </font>
    <font>
      <sz val="11"/>
      <color indexed="32"/>
      <name val="VNI-Times"/>
    </font>
    <font>
      <sz val="10"/>
      <name val="Symbol"/>
      <family val="1"/>
      <charset val="2"/>
    </font>
    <font>
      <sz val="13"/>
      <name val=".VnArial"/>
      <family val="2"/>
    </font>
    <font>
      <b/>
      <sz val="10"/>
      <name val="VNI-Univer"/>
    </font>
    <font>
      <sz val="10"/>
      <name val=".VnBook-Antiqua"/>
      <family val="2"/>
    </font>
    <font>
      <b/>
      <sz val="12"/>
      <name val="VNI-Times"/>
    </font>
    <font>
      <sz val="12"/>
      <color indexed="8"/>
      <name val=".VnTime"/>
      <family val="2"/>
    </font>
    <font>
      <sz val="11"/>
      <name val=".VnAvant"/>
      <family val="2"/>
    </font>
    <font>
      <b/>
      <u val="double"/>
      <sz val="12"/>
      <color indexed="12"/>
      <name val=".VnBahamasB"/>
      <family val="2"/>
    </font>
    <font>
      <b/>
      <sz val="18"/>
      <color indexed="56"/>
      <name val="Cambria"/>
      <family val="2"/>
    </font>
    <font>
      <b/>
      <sz val="11"/>
      <color indexed="52"/>
      <name val="Calibri"/>
      <family val="2"/>
    </font>
    <font>
      <sz val="9.5"/>
      <name val=".VnBlackH"/>
      <family val="2"/>
    </font>
    <font>
      <b/>
      <sz val="10"/>
      <name val=".VnBahamasBH"/>
      <family val="2"/>
    </font>
    <font>
      <b/>
      <sz val="11"/>
      <name val=".VnArialH"/>
      <family val="2"/>
    </font>
    <font>
      <b/>
      <sz val="11"/>
      <color indexed="8"/>
      <name val="Calibri"/>
      <family val="2"/>
    </font>
    <font>
      <b/>
      <sz val="10"/>
      <name val=".VnArialH"/>
      <family val="2"/>
    </font>
    <font>
      <sz val="11"/>
      <color indexed="17"/>
      <name val="Calibri"/>
      <family val="2"/>
    </font>
    <font>
      <sz val="11"/>
      <color indexed="60"/>
      <name val="Calibri"/>
      <family val="2"/>
    </font>
    <font>
      <sz val="10"/>
      <name val=".VnArial Narrow"/>
      <family val="2"/>
    </font>
    <font>
      <sz val="9"/>
      <name val="VNswitzerlandCondensed"/>
      <family val="2"/>
    </font>
    <font>
      <sz val="11"/>
      <name val="VNI-Times"/>
    </font>
    <font>
      <sz val="11"/>
      <color indexed="10"/>
      <name val="Calibri"/>
      <family val="2"/>
    </font>
    <font>
      <i/>
      <sz val="11"/>
      <color indexed="23"/>
      <name val="Calibri"/>
      <family val="2"/>
    </font>
    <font>
      <sz val="8"/>
      <name val="VNI-Helve"/>
    </font>
    <font>
      <sz val="10"/>
      <color indexed="8"/>
      <name val="MS Sans Serif"/>
      <family val="2"/>
    </font>
    <font>
      <sz val="8"/>
      <name val=".VnTime"/>
      <family val="2"/>
    </font>
    <font>
      <sz val="12"/>
      <color indexed="10"/>
      <name val="Arial Narrow"/>
      <family val="2"/>
    </font>
    <font>
      <sz val="10"/>
      <name val="Geneva"/>
      <family val="2"/>
    </font>
    <font>
      <sz val="11"/>
      <color indexed="20"/>
      <name val="Calibri"/>
      <family val="2"/>
    </font>
    <font>
      <sz val="12"/>
      <color indexed="8"/>
      <name val="바탕체"/>
      <family val="3"/>
    </font>
    <font>
      <sz val="10"/>
      <name val="돋움체"/>
      <family val="3"/>
      <charset val="129"/>
    </font>
    <font>
      <sz val="11"/>
      <color indexed="8"/>
      <name val="times new roman"/>
      <family val="2"/>
      <charset val="163"/>
    </font>
    <font>
      <sz val="11"/>
      <color indexed="8"/>
      <name val="Calibri"/>
      <family val="2"/>
    </font>
    <font>
      <sz val="12"/>
      <color indexed="8"/>
      <name val="Times New Roman"/>
      <family val="2"/>
    </font>
    <font>
      <sz val="10"/>
      <color indexed="8"/>
      <name val="Times New Roman"/>
      <family val="2"/>
      <charset val="163"/>
    </font>
    <font>
      <sz val="12"/>
      <color indexed="8"/>
      <name val="Times New Roman"/>
      <family val="1"/>
    </font>
    <font>
      <b/>
      <sz val="11"/>
      <color indexed="8"/>
      <name val="Times New Roman"/>
      <family val="1"/>
    </font>
    <font>
      <sz val="11"/>
      <color indexed="8"/>
      <name val="Times New Roman"/>
      <family val="1"/>
    </font>
    <font>
      <sz val="11"/>
      <color indexed="10"/>
      <name val="Times New Roman"/>
      <family val="1"/>
    </font>
    <font>
      <sz val="12"/>
      <color indexed="10"/>
      <name val="Times New Roman"/>
      <family val="1"/>
    </font>
    <font>
      <i/>
      <sz val="11"/>
      <color indexed="8"/>
      <name val="Times New Roman"/>
      <family val="1"/>
    </font>
    <font>
      <sz val="11"/>
      <color indexed="8"/>
      <name val="Times New Roman"/>
      <family val="1"/>
    </font>
    <font>
      <sz val="11"/>
      <name val="Times New Roman"/>
      <family val="1"/>
      <charset val="163"/>
    </font>
    <font>
      <b/>
      <sz val="9"/>
      <color indexed="81"/>
      <name val="Tahoma"/>
      <family val="2"/>
      <charset val="163"/>
    </font>
    <font>
      <sz val="9"/>
      <color indexed="81"/>
      <name val="Tahoma"/>
      <family val="2"/>
      <charset val="163"/>
    </font>
    <font>
      <sz val="11"/>
      <color theme="1"/>
      <name val="times new roman"/>
      <family val="2"/>
      <charset val="163"/>
    </font>
    <font>
      <sz val="11"/>
      <color theme="1"/>
      <name val="Calibri"/>
      <family val="2"/>
      <scheme val="minor"/>
    </font>
    <font>
      <u/>
      <sz val="11"/>
      <color theme="10"/>
      <name val="times new roman"/>
      <family val="2"/>
      <charset val="163"/>
    </font>
    <font>
      <sz val="12"/>
      <color theme="1"/>
      <name val="Times New Roman"/>
      <family val="2"/>
      <charset val="163"/>
    </font>
    <font>
      <sz val="11"/>
      <color theme="1"/>
      <name val="Calibri"/>
      <family val="2"/>
      <charset val="163"/>
      <scheme val="minor"/>
    </font>
    <font>
      <sz val="11"/>
      <color theme="1"/>
      <name val="Calibri"/>
      <family val="2"/>
    </font>
    <font>
      <sz val="13"/>
      <color theme="1"/>
      <name val="Times New Roman"/>
      <family val="2"/>
    </font>
    <font>
      <sz val="12"/>
      <color theme="1"/>
      <name val="Times New Roman"/>
      <family val="2"/>
    </font>
    <font>
      <b/>
      <sz val="11"/>
      <color theme="1"/>
      <name val="times new roman"/>
      <family val="1"/>
      <charset val="163"/>
    </font>
    <font>
      <sz val="11"/>
      <color theme="1"/>
      <name val="Times New Roman"/>
      <family val="1"/>
      <charset val="163"/>
    </font>
    <font>
      <sz val="10"/>
      <color theme="1"/>
      <name val="times new roman"/>
      <family val="1"/>
      <charset val="163"/>
    </font>
    <font>
      <sz val="10"/>
      <color theme="1"/>
      <name val="Times New Roman"/>
      <family val="1"/>
    </font>
    <font>
      <sz val="9"/>
      <color theme="1"/>
      <name val="Arial MT"/>
    </font>
    <font>
      <sz val="12"/>
      <color theme="1"/>
      <name val="Times New Roman"/>
      <family val="1"/>
    </font>
    <font>
      <i/>
      <sz val="10"/>
      <color theme="1"/>
      <name val="Times New Roman"/>
      <family val="1"/>
    </font>
    <font>
      <b/>
      <sz val="14"/>
      <color theme="1"/>
      <name val="times new roman"/>
      <family val="1"/>
      <charset val="163"/>
    </font>
    <font>
      <b/>
      <sz val="12"/>
      <color theme="1"/>
      <name val="Times New Roman"/>
      <family val="1"/>
      <charset val="163"/>
    </font>
    <font>
      <i/>
      <sz val="10"/>
      <color theme="1"/>
      <name val="Times New Roman"/>
      <family val="1"/>
      <charset val="163"/>
    </font>
    <font>
      <sz val="12"/>
      <color theme="1"/>
      <name val="Times New Roman"/>
      <family val="1"/>
      <charset val="163"/>
    </font>
    <font>
      <i/>
      <sz val="12"/>
      <color theme="1"/>
      <name val="Times New Roman"/>
      <family val="1"/>
      <charset val="163"/>
    </font>
    <font>
      <sz val="8"/>
      <color theme="1"/>
      <name val="Times New Roman"/>
      <family val="1"/>
    </font>
    <font>
      <sz val="11"/>
      <color theme="1"/>
      <name val="Times New Roman"/>
      <family val="1"/>
    </font>
    <font>
      <b/>
      <sz val="8"/>
      <color theme="1"/>
      <name val="Times New Roman"/>
      <family val="1"/>
    </font>
    <font>
      <b/>
      <sz val="12"/>
      <color theme="1"/>
      <name val="Times New Roman"/>
      <family val="1"/>
    </font>
    <font>
      <b/>
      <sz val="11"/>
      <color theme="1"/>
      <name val="Times New Roman"/>
      <family val="1"/>
    </font>
    <font>
      <b/>
      <sz val="14"/>
      <color theme="1"/>
      <name val="Times New Roman"/>
      <family val="1"/>
    </font>
    <font>
      <sz val="10"/>
      <color theme="1"/>
      <name val="Arial MT"/>
    </font>
    <font>
      <b/>
      <sz val="10"/>
      <color theme="1"/>
      <name val="Times New Roman"/>
      <family val="1"/>
    </font>
    <font>
      <b/>
      <sz val="10"/>
      <color theme="1"/>
      <name val="Arial MT"/>
      <charset val="163"/>
    </font>
    <font>
      <b/>
      <sz val="10"/>
      <color theme="1"/>
      <name val="Arial MT"/>
    </font>
    <font>
      <b/>
      <sz val="9"/>
      <color theme="1"/>
      <name val="Arial MT"/>
    </font>
    <font>
      <i/>
      <sz val="11"/>
      <color theme="1"/>
      <name val="Times New Roman"/>
      <family val="1"/>
    </font>
    <font>
      <i/>
      <sz val="11"/>
      <color theme="1"/>
      <name val="Times New Roman"/>
      <family val="1"/>
      <charset val="163"/>
    </font>
    <font>
      <sz val="9"/>
      <color theme="1"/>
      <name val="Times New Roman"/>
      <family val="1"/>
    </font>
    <font>
      <b/>
      <sz val="9"/>
      <color theme="1"/>
      <name val="Times New Roman"/>
      <family val="1"/>
    </font>
    <font>
      <b/>
      <i/>
      <sz val="9"/>
      <color theme="1"/>
      <name val="Times New Roman"/>
      <family val="1"/>
    </font>
    <font>
      <b/>
      <i/>
      <sz val="8"/>
      <color theme="1"/>
      <name val="Times New Roman"/>
      <family val="1"/>
    </font>
    <font>
      <i/>
      <sz val="8"/>
      <color theme="1"/>
      <name val="Times New Roman"/>
      <family val="1"/>
    </font>
    <font>
      <b/>
      <i/>
      <sz val="11"/>
      <color theme="1"/>
      <name val="Times New Roman"/>
      <family val="1"/>
    </font>
    <font>
      <b/>
      <sz val="13"/>
      <color theme="1"/>
      <name val="Times New Roman"/>
      <family val="1"/>
    </font>
    <font>
      <b/>
      <sz val="13"/>
      <color theme="1"/>
      <name val="Times New Roman"/>
      <family val="1"/>
      <charset val="163"/>
    </font>
    <font>
      <b/>
      <sz val="10"/>
      <color theme="1"/>
      <name val=".VnTime"/>
      <family val="2"/>
    </font>
    <font>
      <b/>
      <sz val="9"/>
      <name val="Times New Roman"/>
      <family val="1"/>
    </font>
    <font>
      <b/>
      <sz val="10"/>
      <color indexed="8"/>
      <name val="Times New Roman"/>
      <family val="1"/>
    </font>
    <font>
      <i/>
      <sz val="11"/>
      <color indexed="8"/>
      <name val="Times New Roman"/>
      <family val="1"/>
      <charset val="163"/>
    </font>
    <font>
      <b/>
      <i/>
      <sz val="10"/>
      <color theme="1"/>
      <name val="Times New Roman"/>
      <family val="1"/>
    </font>
    <font>
      <sz val="11"/>
      <color rgb="FFFF0000"/>
      <name val="Times New Roman"/>
      <family val="1"/>
      <charset val="163"/>
    </font>
  </fonts>
  <fills count="51">
    <fill>
      <patternFill patternType="none"/>
    </fill>
    <fill>
      <patternFill patternType="gray125"/>
    </fill>
    <fill>
      <patternFill patternType="solid">
        <fgColor indexed="22"/>
        <bgColor indexed="64"/>
      </patternFill>
    </fill>
    <fill>
      <patternFill patternType="solid">
        <fgColor indexed="22"/>
        <bgColor indexed="31"/>
      </patternFill>
    </fill>
    <fill>
      <patternFill patternType="solid">
        <fgColor indexed="1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9"/>
      </patternFill>
    </fill>
    <fill>
      <patternFill patternType="solid">
        <fgColor indexed="26"/>
      </patternFill>
    </fill>
    <fill>
      <patternFill patternType="solid">
        <fgColor indexed="9"/>
        <bgColor indexed="64"/>
      </patternFill>
    </fill>
    <fill>
      <patternFill patternType="solid">
        <fgColor indexed="65"/>
        <bgColor indexed="64"/>
      </patternFill>
    </fill>
    <fill>
      <patternFill patternType="solid">
        <fgColor indexed="40"/>
        <bgColor indexed="64"/>
      </patternFill>
    </fill>
    <fill>
      <patternFill patternType="solid">
        <fgColor indexed="43"/>
      </patternFill>
    </fill>
    <fill>
      <patternFill patternType="darkVertica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1"/>
        <bgColor indexed="64"/>
      </patternFill>
    </fill>
    <fill>
      <patternFill patternType="solid">
        <fgColor indexed="35"/>
        <bgColor indexed="64"/>
      </patternFill>
    </fill>
    <fill>
      <patternFill patternType="gray125">
        <fgColor indexed="35"/>
      </patternFill>
    </fill>
    <fill>
      <patternFill patternType="solid">
        <fgColor indexed="26"/>
        <bgColor indexed="9"/>
      </patternFill>
    </fill>
    <fill>
      <patternFill patternType="solid">
        <fgColor indexed="9"/>
        <bgColor indexed="10"/>
      </patternFill>
    </fill>
    <fill>
      <patternFill patternType="solid">
        <fgColor theme="0"/>
        <bgColor indexed="64"/>
      </patternFill>
    </fill>
  </fills>
  <borders count="8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right/>
      <top/>
      <bottom style="hair">
        <color indexed="64"/>
      </bottom>
      <diagonal/>
    </border>
    <border>
      <left style="thin">
        <color indexed="64"/>
      </left>
      <right style="thin">
        <color indexed="64"/>
      </right>
      <top style="hair">
        <color indexed="64"/>
      </top>
      <bottom style="hair">
        <color indexed="64"/>
      </bottom>
      <diagonal/>
    </border>
    <border>
      <left style="thin">
        <color indexed="8"/>
      </left>
      <right style="thin">
        <color indexed="8"/>
      </right>
      <top style="hair">
        <color indexed="8"/>
      </top>
      <bottom style="hair">
        <color indexed="8"/>
      </bottom>
      <diagonal/>
    </border>
    <border>
      <left style="thin">
        <color indexed="8"/>
      </left>
      <right style="thin">
        <color indexed="8"/>
      </right>
      <top style="thin">
        <color indexed="8"/>
      </top>
      <bottom style="thin">
        <color indexed="8"/>
      </bottom>
      <diagonal/>
    </border>
    <border>
      <left/>
      <right/>
      <top style="double">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bottom style="thin">
        <color indexed="64"/>
      </bottom>
      <diagonal/>
    </border>
    <border>
      <left/>
      <right style="double">
        <color indexed="64"/>
      </right>
      <top/>
      <bottom/>
      <diagonal/>
    </border>
    <border>
      <left style="thin">
        <color indexed="64"/>
      </left>
      <right style="thin">
        <color indexed="64"/>
      </right>
      <top/>
      <bottom/>
      <diagonal/>
    </border>
    <border>
      <left/>
      <right/>
      <top style="double">
        <color indexed="64"/>
      </top>
      <bottom style="double">
        <color indexed="64"/>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ck">
        <color indexed="64"/>
      </left>
      <right/>
      <top style="thick">
        <color indexed="64"/>
      </top>
      <bottom/>
      <diagonal/>
    </border>
    <border>
      <left style="medium">
        <color indexed="10"/>
      </left>
      <right style="medium">
        <color indexed="10"/>
      </right>
      <top style="hair">
        <color indexed="10"/>
      </top>
      <bottom style="hair">
        <color indexed="10"/>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style="double">
        <color indexed="64"/>
      </left>
      <right style="thin">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8"/>
      </top>
      <bottom style="thin">
        <color indexed="64"/>
      </bottom>
      <diagonal/>
    </border>
    <border>
      <left/>
      <right/>
      <top/>
      <bottom style="double">
        <color indexed="52"/>
      </bottom>
      <diagonal/>
    </border>
    <border>
      <left style="thin">
        <color indexed="64"/>
      </left>
      <right style="thin">
        <color indexed="64"/>
      </right>
      <top style="thin">
        <color indexed="64"/>
      </top>
      <bottom style="hair">
        <color indexed="64"/>
      </bottom>
      <diagonal/>
    </border>
    <border>
      <left/>
      <right/>
      <top style="medium">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right style="thin">
        <color indexed="64"/>
      </right>
      <top style="hair">
        <color indexed="64"/>
      </top>
      <bottom style="hair">
        <color indexed="64"/>
      </bottom>
      <diagonal/>
    </border>
    <border>
      <left style="thin">
        <color indexed="8"/>
      </left>
      <right/>
      <top style="thin">
        <color indexed="8"/>
      </top>
      <bottom style="thin">
        <color indexed="8"/>
      </bottom>
      <diagonal/>
    </border>
    <border>
      <left style="thin">
        <color indexed="64"/>
      </left>
      <right style="medium">
        <color indexed="64"/>
      </right>
      <top style="medium">
        <color indexed="64"/>
      </top>
      <bottom style="thin">
        <color indexed="64"/>
      </bottom>
      <diagonal/>
    </border>
    <border>
      <left style="double">
        <color indexed="64"/>
      </left>
      <right style="thin">
        <color indexed="64"/>
      </right>
      <top style="double">
        <color indexed="64"/>
      </top>
      <bottom/>
      <diagonal/>
    </border>
    <border>
      <left style="double">
        <color indexed="64"/>
      </left>
      <right style="thin">
        <color indexed="64"/>
      </right>
      <top style="hair">
        <color indexed="64"/>
      </top>
      <bottom style="double">
        <color indexed="64"/>
      </bottom>
      <diagonal/>
    </border>
    <border>
      <left/>
      <right/>
      <top style="thin">
        <color indexed="62"/>
      </top>
      <bottom style="double">
        <color indexed="62"/>
      </bottom>
      <diagonal/>
    </border>
    <border>
      <left style="hair">
        <color indexed="64"/>
      </left>
      <right/>
      <top/>
      <bottom/>
      <diagonal/>
    </border>
    <border>
      <left/>
      <right style="medium">
        <color indexed="0"/>
      </right>
      <top/>
      <bottom/>
      <diagonal/>
    </border>
    <border>
      <left style="medium">
        <color indexed="9"/>
      </left>
      <right style="medium">
        <color indexed="9"/>
      </right>
      <top style="medium">
        <color indexed="9"/>
      </top>
      <bottom style="medium">
        <color indexed="9"/>
      </bottom>
      <diagonal/>
    </border>
    <border>
      <left style="double">
        <color indexed="64"/>
      </left>
      <right style="double">
        <color indexed="64"/>
      </right>
      <top style="double">
        <color indexed="64"/>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right/>
      <top/>
      <bottom style="thin">
        <color indexed="64"/>
      </bottom>
      <diagonal/>
    </border>
    <border>
      <left style="thin">
        <color indexed="64"/>
      </left>
      <right style="thin">
        <color indexed="64"/>
      </right>
      <top style="dashed">
        <color indexed="64"/>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bottom style="dashed">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auto="1"/>
      </left>
      <right/>
      <top style="thin">
        <color indexed="64"/>
      </top>
      <bottom/>
      <diagonal/>
    </border>
    <border>
      <left/>
      <right/>
      <top style="thin">
        <color auto="1"/>
      </top>
      <bottom style="thin">
        <color auto="1"/>
      </bottom>
      <diagonal/>
    </border>
    <border>
      <left style="thin">
        <color auto="1"/>
      </left>
      <right style="thin">
        <color auto="1"/>
      </right>
      <top style="thin">
        <color auto="1"/>
      </top>
      <bottom style="dashed">
        <color auto="1"/>
      </bottom>
      <diagonal/>
    </border>
    <border>
      <left style="thin">
        <color auto="1"/>
      </left>
      <right style="thin">
        <color auto="1"/>
      </right>
      <top/>
      <bottom style="dashed">
        <color auto="1"/>
      </bottom>
      <diagonal/>
    </border>
    <border>
      <left style="thin">
        <color auto="1"/>
      </left>
      <right style="thin">
        <color auto="1"/>
      </right>
      <top style="dashed">
        <color auto="1"/>
      </top>
      <bottom style="dashed">
        <color auto="1"/>
      </bottom>
      <diagonal/>
    </border>
    <border>
      <left style="thin">
        <color auto="1"/>
      </left>
      <right style="thin">
        <color auto="1"/>
      </right>
      <top style="dashed">
        <color auto="1"/>
      </top>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dashed">
        <color indexed="64"/>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thin">
        <color auto="1"/>
      </top>
      <bottom style="thin">
        <color indexed="64"/>
      </bottom>
      <diagonal/>
    </border>
    <border>
      <left style="thin">
        <color indexed="64"/>
      </left>
      <right style="thin">
        <color indexed="64"/>
      </right>
      <top style="thin">
        <color indexed="64"/>
      </top>
      <bottom/>
      <diagonal/>
    </border>
    <border>
      <left style="thin">
        <color auto="1"/>
      </left>
      <right style="thin">
        <color auto="1"/>
      </right>
      <top/>
      <bottom style="dashed">
        <color auto="1"/>
      </bottom>
      <diagonal/>
    </border>
    <border>
      <left style="thin">
        <color indexed="64"/>
      </left>
      <right style="thin">
        <color indexed="64"/>
      </right>
      <top style="dashed">
        <color indexed="64"/>
      </top>
      <bottom/>
      <diagonal/>
    </border>
    <border>
      <left style="thin">
        <color indexed="8"/>
      </left>
      <right style="thin">
        <color indexed="8"/>
      </right>
      <top style="dashed">
        <color indexed="8"/>
      </top>
      <bottom style="dashed">
        <color indexed="8"/>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s>
  <cellStyleXfs count="2017">
    <xf numFmtId="0" fontId="0" fillId="0" borderId="0"/>
    <xf numFmtId="168" fontId="4" fillId="0" borderId="0" applyFon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3" fontId="6" fillId="0" borderId="1"/>
    <xf numFmtId="167" fontId="93" fillId="0" borderId="2" applyFont="0" applyBorder="0"/>
    <xf numFmtId="219" fontId="94" fillId="0" borderId="0" applyBorder="0"/>
    <xf numFmtId="167" fontId="93" fillId="0" borderId="2" applyFont="0" applyBorder="0"/>
    <xf numFmtId="0" fontId="23" fillId="0" borderId="0"/>
    <xf numFmtId="169" fontId="7"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220" fontId="55" fillId="0" borderId="0" applyFont="0" applyFill="0" applyBorder="0" applyAlignment="0" applyProtection="0"/>
    <xf numFmtId="170" fontId="7" fillId="0" borderId="0" applyFont="0" applyFill="0" applyBorder="0" applyAlignment="0" applyProtection="0"/>
    <xf numFmtId="0" fontId="7" fillId="0" borderId="0" applyNumberFormat="0" applyFill="0" applyBorder="0" applyAlignment="0" applyProtection="0"/>
    <xf numFmtId="0" fontId="95" fillId="0" borderId="0" applyFont="0" applyFill="0" applyBorder="0" applyAlignment="0" applyProtection="0"/>
    <xf numFmtId="0" fontId="96" fillId="0" borderId="3"/>
    <xf numFmtId="221" fontId="97" fillId="0" borderId="0" applyFont="0" applyFill="0" applyBorder="0" applyAlignment="0" applyProtection="0"/>
    <xf numFmtId="222" fontId="97" fillId="0" borderId="0" applyFont="0" applyFill="0" applyBorder="0" applyAlignment="0" applyProtection="0"/>
    <xf numFmtId="223" fontId="23" fillId="0" borderId="0" applyFont="0" applyFill="0" applyBorder="0" applyAlignment="0" applyProtection="0"/>
    <xf numFmtId="171" fontId="8" fillId="0" borderId="0" applyFont="0" applyFill="0" applyBorder="0" applyAlignment="0" applyProtection="0"/>
    <xf numFmtId="172" fontId="8" fillId="0" borderId="0" applyFont="0" applyFill="0" applyBorder="0" applyAlignment="0" applyProtection="0"/>
    <xf numFmtId="6" fontId="9" fillId="0" borderId="0" applyFont="0" applyFill="0" applyBorder="0" applyAlignment="0" applyProtection="0"/>
    <xf numFmtId="0" fontId="98"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11" fillId="0" borderId="0"/>
    <xf numFmtId="0" fontId="7" fillId="0" borderId="0" applyNumberFormat="0" applyFill="0" applyBorder="0" applyAlignment="0" applyProtection="0"/>
    <xf numFmtId="171" fontId="5" fillId="0" borderId="0" applyFont="0" applyFill="0" applyBorder="0" applyAlignment="0" applyProtection="0"/>
    <xf numFmtId="216" fontId="12" fillId="0" borderId="0" applyFont="0" applyFill="0" applyBorder="0" applyAlignment="0" applyProtection="0"/>
    <xf numFmtId="173" fontId="12" fillId="0" borderId="0" applyFont="0" applyFill="0" applyBorder="0" applyAlignment="0" applyProtection="0"/>
    <xf numFmtId="173" fontId="12" fillId="0" borderId="0" applyFont="0" applyFill="0" applyBorder="0" applyAlignment="0" applyProtection="0"/>
    <xf numFmtId="0" fontId="13" fillId="0" borderId="0"/>
    <xf numFmtId="0" fontId="13" fillId="0" borderId="0"/>
    <xf numFmtId="0" fontId="13" fillId="0" borderId="0"/>
    <xf numFmtId="174" fontId="5" fillId="0" borderId="0" applyFont="0" applyFill="0" applyBorder="0" applyAlignment="0" applyProtection="0"/>
    <xf numFmtId="174" fontId="5" fillId="0" borderId="0" applyFont="0" applyFill="0" applyBorder="0" applyAlignment="0" applyProtection="0"/>
    <xf numFmtId="216" fontId="12" fillId="0" borderId="0" applyFont="0" applyFill="0" applyBorder="0" applyAlignment="0" applyProtection="0"/>
    <xf numFmtId="0" fontId="13" fillId="0" borderId="0"/>
    <xf numFmtId="0" fontId="14" fillId="0" borderId="0">
      <alignment vertical="top"/>
    </xf>
    <xf numFmtId="0" fontId="14" fillId="0" borderId="0">
      <alignment vertical="top"/>
    </xf>
    <xf numFmtId="0" fontId="15" fillId="0" borderId="0"/>
    <xf numFmtId="221" fontId="12" fillId="0" borderId="0" applyFont="0" applyFill="0" applyBorder="0" applyAlignment="0" applyProtection="0"/>
    <xf numFmtId="216" fontId="12" fillId="0" borderId="0" applyFont="0" applyFill="0" applyBorder="0" applyAlignment="0" applyProtection="0"/>
    <xf numFmtId="208" fontId="4" fillId="0" borderId="0" applyFont="0" applyFill="0" applyBorder="0" applyAlignment="0" applyProtection="0"/>
    <xf numFmtId="224" fontId="12" fillId="0" borderId="0" applyFont="0" applyFill="0" applyBorder="0" applyAlignment="0" applyProtection="0"/>
    <xf numFmtId="225" fontId="12" fillId="0" borderId="0" applyFont="0" applyFill="0" applyBorder="0" applyAlignment="0" applyProtection="0"/>
    <xf numFmtId="224" fontId="12" fillId="0" borderId="0" applyFont="0" applyFill="0" applyBorder="0" applyAlignment="0" applyProtection="0"/>
    <xf numFmtId="208" fontId="4" fillId="0" borderId="0" applyFont="0" applyFill="0" applyBorder="0" applyAlignment="0" applyProtection="0"/>
    <xf numFmtId="0" fontId="23" fillId="0" borderId="0" applyNumberFormat="0" applyFill="0" applyBorder="0" applyAlignment="0" applyProtection="0"/>
    <xf numFmtId="0" fontId="15" fillId="0" borderId="0"/>
    <xf numFmtId="0" fontId="23" fillId="0" borderId="0" applyNumberFormat="0" applyFill="0" applyBorder="0" applyAlignment="0" applyProtection="0"/>
    <xf numFmtId="208" fontId="4" fillId="0" borderId="0" applyFont="0" applyFill="0" applyBorder="0" applyAlignment="0" applyProtection="0"/>
    <xf numFmtId="0" fontId="15" fillId="0" borderId="0"/>
    <xf numFmtId="0" fontId="14" fillId="0" borderId="0">
      <alignment vertical="top"/>
    </xf>
    <xf numFmtId="0" fontId="14" fillId="0" borderId="0">
      <alignment vertical="top"/>
    </xf>
    <xf numFmtId="0" fontId="14" fillId="0" borderId="0">
      <alignment vertical="top"/>
    </xf>
    <xf numFmtId="216" fontId="12" fillId="0" borderId="0" applyFont="0" applyFill="0" applyBorder="0" applyAlignment="0" applyProtection="0"/>
    <xf numFmtId="216" fontId="12" fillId="0" borderId="0" applyFont="0" applyFill="0" applyBorder="0" applyAlignment="0" applyProtection="0"/>
    <xf numFmtId="216" fontId="99" fillId="0" borderId="0" applyFon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15" fillId="0" borderId="0"/>
    <xf numFmtId="0" fontId="15" fillId="0" borderId="0"/>
    <xf numFmtId="0" fontId="15"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5" fillId="0" borderId="0"/>
    <xf numFmtId="226" fontId="4" fillId="0" borderId="0" applyFont="0" applyFill="0" applyBorder="0" applyAlignment="0" applyProtection="0"/>
    <xf numFmtId="173" fontId="12" fillId="0" borderId="0" applyFont="0" applyFill="0" applyBorder="0" applyAlignment="0" applyProtection="0"/>
    <xf numFmtId="168" fontId="4" fillId="0" borderId="0" applyFont="0" applyFill="0" applyBorder="0" applyAlignment="0" applyProtection="0"/>
    <xf numFmtId="216" fontId="4" fillId="0" borderId="0" applyFont="0" applyFill="0" applyBorder="0" applyAlignment="0" applyProtection="0"/>
    <xf numFmtId="216" fontId="4" fillId="0" borderId="0" applyFont="0" applyFill="0" applyBorder="0" applyAlignment="0" applyProtection="0"/>
    <xf numFmtId="184" fontId="100" fillId="0" borderId="0" applyFont="0" applyFill="0" applyBorder="0" applyAlignment="0" applyProtection="0"/>
    <xf numFmtId="227" fontId="4" fillId="0" borderId="0" applyFont="0" applyFill="0" applyBorder="0" applyAlignment="0" applyProtection="0"/>
    <xf numFmtId="227" fontId="4" fillId="0" borderId="0" applyFont="0" applyFill="0" applyBorder="0" applyAlignment="0" applyProtection="0"/>
    <xf numFmtId="228" fontId="7" fillId="0" borderId="0" applyFont="0" applyFill="0" applyBorder="0" applyAlignment="0" applyProtection="0"/>
    <xf numFmtId="228" fontId="7" fillId="0" borderId="0" applyFont="0" applyFill="0" applyBorder="0" applyAlignment="0" applyProtection="0"/>
    <xf numFmtId="228" fontId="100" fillId="0" borderId="0" applyFont="0" applyFill="0" applyBorder="0" applyAlignment="0" applyProtection="0"/>
    <xf numFmtId="227" fontId="4" fillId="0" borderId="0" applyFont="0" applyFill="0" applyBorder="0" applyAlignment="0" applyProtection="0"/>
    <xf numFmtId="184" fontId="100" fillId="0" borderId="0" applyFont="0" applyFill="0" applyBorder="0" applyAlignment="0" applyProtection="0"/>
    <xf numFmtId="168" fontId="4" fillId="0" borderId="0" applyFont="0" applyFill="0" applyBorder="0" applyAlignment="0" applyProtection="0"/>
    <xf numFmtId="216"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229" fontId="4" fillId="0" borderId="0" applyFont="0" applyFill="0" applyBorder="0" applyAlignment="0" applyProtection="0"/>
    <xf numFmtId="229" fontId="4" fillId="0" borderId="0" applyFont="0" applyFill="0" applyBorder="0" applyAlignment="0" applyProtection="0"/>
    <xf numFmtId="0" fontId="12" fillId="0" borderId="0" applyFont="0" applyFill="0" applyBorder="0" applyAlignment="0" applyProtection="0"/>
    <xf numFmtId="165" fontId="12" fillId="0" borderId="0" applyFont="0" applyFill="0" applyBorder="0" applyAlignment="0" applyProtection="0"/>
    <xf numFmtId="178" fontId="12" fillId="0" borderId="0" applyFont="0" applyFill="0" applyBorder="0" applyAlignment="0" applyProtection="0"/>
    <xf numFmtId="188" fontId="12" fillId="0" borderId="0" applyFont="0" applyFill="0" applyBorder="0" applyAlignment="0" applyProtection="0"/>
    <xf numFmtId="230" fontId="12" fillId="0" borderId="0" applyFont="0" applyFill="0" applyBorder="0" applyAlignment="0" applyProtection="0"/>
    <xf numFmtId="188"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230" fontId="12" fillId="0" borderId="0" applyFont="0" applyFill="0" applyBorder="0" applyAlignment="0" applyProtection="0"/>
    <xf numFmtId="178" fontId="12" fillId="0" borderId="0" applyFont="0" applyFill="0" applyBorder="0" applyAlignment="0" applyProtection="0"/>
    <xf numFmtId="231" fontId="12" fillId="0" borderId="0" applyFont="0" applyFill="0" applyBorder="0" applyAlignment="0" applyProtection="0"/>
    <xf numFmtId="0" fontId="12" fillId="0" borderId="0" applyFont="0" applyFill="0" applyBorder="0" applyAlignment="0" applyProtection="0"/>
    <xf numFmtId="165" fontId="12" fillId="0" borderId="0" applyFont="0" applyFill="0" applyBorder="0" applyAlignment="0" applyProtection="0"/>
    <xf numFmtId="0" fontId="12" fillId="0" borderId="0" applyFont="0" applyFill="0" applyBorder="0" applyAlignment="0" applyProtection="0"/>
    <xf numFmtId="188" fontId="12" fillId="0" borderId="0" applyFont="0" applyFill="0" applyBorder="0" applyAlignment="0" applyProtection="0"/>
    <xf numFmtId="188" fontId="12" fillId="0" borderId="0" applyFont="0" applyFill="0" applyBorder="0" applyAlignment="0" applyProtection="0"/>
    <xf numFmtId="178" fontId="12" fillId="0" borderId="0" applyFont="0" applyFill="0" applyBorder="0" applyAlignment="0" applyProtection="0"/>
    <xf numFmtId="218" fontId="12" fillId="0" borderId="0" applyFont="0" applyFill="0" applyBorder="0" applyAlignment="0" applyProtection="0"/>
    <xf numFmtId="188" fontId="12" fillId="0" borderId="0" applyFont="0" applyFill="0" applyBorder="0" applyAlignment="0" applyProtection="0"/>
    <xf numFmtId="232" fontId="12" fillId="0" borderId="0" applyFont="0" applyFill="0" applyBorder="0" applyAlignment="0" applyProtection="0"/>
    <xf numFmtId="232" fontId="12" fillId="0" borderId="0" applyFont="0" applyFill="0" applyBorder="0" applyAlignment="0" applyProtection="0"/>
    <xf numFmtId="178" fontId="12" fillId="0" borderId="0" applyFont="0" applyFill="0" applyBorder="0" applyAlignment="0" applyProtection="0"/>
    <xf numFmtId="230" fontId="12" fillId="0" borderId="0" applyFont="0" applyFill="0" applyBorder="0" applyAlignment="0" applyProtection="0"/>
    <xf numFmtId="230" fontId="12" fillId="0" borderId="0" applyFont="0" applyFill="0" applyBorder="0" applyAlignment="0" applyProtection="0"/>
    <xf numFmtId="165" fontId="12" fillId="0" borderId="0" applyFont="0" applyFill="0" applyBorder="0" applyAlignment="0" applyProtection="0"/>
    <xf numFmtId="188" fontId="12" fillId="0" borderId="0" applyFont="0" applyFill="0" applyBorder="0" applyAlignment="0" applyProtection="0"/>
    <xf numFmtId="165" fontId="12" fillId="0" borderId="0" applyFont="0" applyFill="0" applyBorder="0" applyAlignment="0" applyProtection="0"/>
    <xf numFmtId="230" fontId="12" fillId="0" borderId="0" applyFont="0" applyFill="0" applyBorder="0" applyAlignment="0" applyProtection="0"/>
    <xf numFmtId="188" fontId="12" fillId="0" borderId="0" applyFont="0" applyFill="0" applyBorder="0" applyAlignment="0" applyProtection="0"/>
    <xf numFmtId="188" fontId="12" fillId="0" borderId="0" applyFont="0" applyFill="0" applyBorder="0" applyAlignment="0" applyProtection="0"/>
    <xf numFmtId="188" fontId="12" fillId="0" borderId="0" applyFont="0" applyFill="0" applyBorder="0" applyAlignment="0" applyProtection="0"/>
    <xf numFmtId="218" fontId="12" fillId="0" borderId="0" applyFont="0" applyFill="0" applyBorder="0" applyAlignment="0" applyProtection="0"/>
    <xf numFmtId="218" fontId="12" fillId="0" borderId="0" applyFont="0" applyFill="0" applyBorder="0" applyAlignment="0" applyProtection="0"/>
    <xf numFmtId="230" fontId="12" fillId="0" borderId="0" applyFont="0" applyFill="0" applyBorder="0" applyAlignment="0" applyProtection="0"/>
    <xf numFmtId="233" fontId="12" fillId="0" borderId="0" applyFont="0" applyFill="0" applyBorder="0" applyAlignment="0" applyProtection="0"/>
    <xf numFmtId="165" fontId="12" fillId="0" borderId="0" applyFont="0" applyFill="0" applyBorder="0" applyAlignment="0" applyProtection="0"/>
    <xf numFmtId="234" fontId="4" fillId="0" borderId="0" applyFont="0" applyFill="0" applyBorder="0" applyAlignment="0" applyProtection="0"/>
    <xf numFmtId="188" fontId="12" fillId="0" borderId="0" applyFont="0" applyFill="0" applyBorder="0" applyAlignment="0" applyProtection="0"/>
    <xf numFmtId="230" fontId="12" fillId="0" borderId="0" applyFont="0" applyFill="0" applyBorder="0" applyAlignment="0" applyProtection="0"/>
    <xf numFmtId="188" fontId="12" fillId="0" borderId="0" applyFont="0" applyFill="0" applyBorder="0" applyAlignment="0" applyProtection="0"/>
    <xf numFmtId="188" fontId="12" fillId="0" borderId="0" applyFont="0" applyFill="0" applyBorder="0" applyAlignment="0" applyProtection="0"/>
    <xf numFmtId="188" fontId="12" fillId="0" borderId="0" applyFont="0" applyFill="0" applyBorder="0" applyAlignment="0" applyProtection="0"/>
    <xf numFmtId="230" fontId="12" fillId="0" borderId="0" applyFont="0" applyFill="0" applyBorder="0" applyAlignment="0" applyProtection="0"/>
    <xf numFmtId="188" fontId="12" fillId="0" borderId="0" applyFont="0" applyFill="0" applyBorder="0" applyAlignment="0" applyProtection="0"/>
    <xf numFmtId="230" fontId="12" fillId="0" borderId="0" applyFont="0" applyFill="0" applyBorder="0" applyAlignment="0" applyProtection="0"/>
    <xf numFmtId="171" fontId="100" fillId="0" borderId="0" applyFont="0" applyFill="0" applyBorder="0" applyAlignment="0" applyProtection="0"/>
    <xf numFmtId="235" fontId="12" fillId="0" borderId="0" applyFont="0" applyFill="0" applyBorder="0" applyAlignment="0" applyProtection="0"/>
    <xf numFmtId="235" fontId="12" fillId="0" borderId="0" applyFont="0" applyFill="0" applyBorder="0" applyAlignment="0" applyProtection="0"/>
    <xf numFmtId="236" fontId="7" fillId="0" borderId="0" applyFont="0" applyFill="0" applyBorder="0" applyAlignment="0" applyProtection="0"/>
    <xf numFmtId="236" fontId="7" fillId="0" borderId="0" applyFont="0" applyFill="0" applyBorder="0" applyAlignment="0" applyProtection="0"/>
    <xf numFmtId="172" fontId="100" fillId="0" borderId="0" applyFont="0" applyFill="0" applyBorder="0" applyAlignment="0" applyProtection="0"/>
    <xf numFmtId="235" fontId="12" fillId="0" borderId="0" applyFont="0" applyFill="0" applyBorder="0" applyAlignment="0" applyProtection="0"/>
    <xf numFmtId="171" fontId="100" fillId="0" borderId="0" applyFont="0" applyFill="0" applyBorder="0" applyAlignment="0" applyProtection="0"/>
    <xf numFmtId="211" fontId="45" fillId="0" borderId="0" applyFont="0" applyFill="0" applyBorder="0" applyAlignment="0" applyProtection="0"/>
    <xf numFmtId="233" fontId="12" fillId="0" borderId="0" applyFont="0" applyFill="0" applyBorder="0" applyAlignment="0" applyProtection="0"/>
    <xf numFmtId="188" fontId="12" fillId="0" borderId="0" applyFont="0" applyFill="0" applyBorder="0" applyAlignment="0" applyProtection="0"/>
    <xf numFmtId="172" fontId="12" fillId="0" borderId="0" applyFont="0" applyFill="0" applyBorder="0" applyAlignment="0" applyProtection="0"/>
    <xf numFmtId="172" fontId="12" fillId="0" borderId="0" applyFont="0" applyFill="0" applyBorder="0" applyAlignment="0" applyProtection="0"/>
    <xf numFmtId="188" fontId="12" fillId="0" borderId="0" applyFont="0" applyFill="0" applyBorder="0" applyAlignment="0" applyProtection="0"/>
    <xf numFmtId="188" fontId="12" fillId="0" borderId="0" applyFont="0" applyFill="0" applyBorder="0" applyAlignment="0" applyProtection="0"/>
    <xf numFmtId="165" fontId="12" fillId="0" borderId="0" applyFont="0" applyFill="0" applyBorder="0" applyAlignment="0" applyProtection="0"/>
    <xf numFmtId="188" fontId="12" fillId="0" borderId="0" applyFont="0" applyFill="0" applyBorder="0" applyAlignment="0" applyProtection="0"/>
    <xf numFmtId="171" fontId="4" fillId="0" borderId="0" applyFont="0" applyFill="0" applyBorder="0" applyAlignment="0" applyProtection="0"/>
    <xf numFmtId="173" fontId="12" fillId="0" borderId="0" applyFont="0" applyFill="0" applyBorder="0" applyAlignment="0" applyProtection="0"/>
    <xf numFmtId="208" fontId="4" fillId="0" borderId="0" applyFont="0" applyFill="0" applyBorder="0" applyAlignment="0" applyProtection="0"/>
    <xf numFmtId="224" fontId="12" fillId="0" borderId="0" applyFont="0" applyFill="0" applyBorder="0" applyAlignment="0" applyProtection="0"/>
    <xf numFmtId="225" fontId="12" fillId="0" borderId="0" applyFont="0" applyFill="0" applyBorder="0" applyAlignment="0" applyProtection="0"/>
    <xf numFmtId="224" fontId="12" fillId="0" borderId="0" applyFont="0" applyFill="0" applyBorder="0" applyAlignment="0" applyProtection="0"/>
    <xf numFmtId="216" fontId="99" fillId="0" borderId="0" applyFont="0" applyFill="0" applyBorder="0" applyAlignment="0" applyProtection="0"/>
    <xf numFmtId="226" fontId="4" fillId="0" borderId="0" applyFont="0" applyFill="0" applyBorder="0" applyAlignment="0" applyProtection="0"/>
    <xf numFmtId="216" fontId="12" fillId="0" borderId="0" applyFont="0" applyFill="0" applyBorder="0" applyAlignment="0" applyProtection="0"/>
    <xf numFmtId="216" fontId="12" fillId="0" borderId="0" applyFont="0" applyFill="0" applyBorder="0" applyAlignment="0" applyProtection="0"/>
    <xf numFmtId="224" fontId="12" fillId="0" borderId="0" applyFont="0" applyFill="0" applyBorder="0" applyAlignment="0" applyProtection="0"/>
    <xf numFmtId="216" fontId="99" fillId="0" borderId="0" applyFont="0" applyFill="0" applyBorder="0" applyAlignment="0" applyProtection="0"/>
    <xf numFmtId="237" fontId="12" fillId="0" borderId="0" applyFont="0" applyFill="0" applyBorder="0" applyAlignment="0" applyProtection="0"/>
    <xf numFmtId="208" fontId="4" fillId="0" borderId="0" applyFont="0" applyFill="0" applyBorder="0" applyAlignment="0" applyProtection="0"/>
    <xf numFmtId="238" fontId="100" fillId="0" borderId="0" applyFont="0" applyFill="0" applyBorder="0" applyAlignment="0" applyProtection="0"/>
    <xf numFmtId="239" fontId="12" fillId="0" borderId="0" applyFont="0" applyFill="0" applyBorder="0" applyAlignment="0" applyProtection="0"/>
    <xf numFmtId="239" fontId="12" fillId="0" borderId="0" applyFont="0" applyFill="0" applyBorder="0" applyAlignment="0" applyProtection="0"/>
    <xf numFmtId="240" fontId="100" fillId="0" borderId="0" applyFont="0" applyFill="0" applyBorder="0" applyAlignment="0" applyProtection="0"/>
    <xf numFmtId="239" fontId="12" fillId="0" borderId="0" applyFont="0" applyFill="0" applyBorder="0" applyAlignment="0" applyProtection="0"/>
    <xf numFmtId="238" fontId="100" fillId="0" borderId="0" applyFont="0" applyFill="0" applyBorder="0" applyAlignment="0" applyProtection="0"/>
    <xf numFmtId="239" fontId="12" fillId="0" borderId="0" applyFont="0" applyFill="0" applyBorder="0" applyAlignment="0" applyProtection="0"/>
    <xf numFmtId="208" fontId="12" fillId="0" borderId="0" applyFont="0" applyFill="0" applyBorder="0" applyAlignment="0" applyProtection="0"/>
    <xf numFmtId="208" fontId="12" fillId="0" borderId="0" applyFont="0" applyFill="0" applyBorder="0" applyAlignment="0" applyProtection="0"/>
    <xf numFmtId="240" fontId="100" fillId="0" borderId="0" applyFont="0" applyFill="0" applyBorder="0" applyAlignment="0" applyProtection="0"/>
    <xf numFmtId="241" fontId="12" fillId="0" borderId="0" applyFont="0" applyFill="0" applyBorder="0" applyAlignment="0" applyProtection="0"/>
    <xf numFmtId="241" fontId="12" fillId="0" borderId="0" applyFont="0" applyFill="0" applyBorder="0" applyAlignment="0" applyProtection="0"/>
    <xf numFmtId="242" fontId="7" fillId="0" borderId="0" applyFont="0" applyFill="0" applyBorder="0" applyAlignment="0" applyProtection="0"/>
    <xf numFmtId="242" fontId="7" fillId="0" borderId="0" applyFont="0" applyFill="0" applyBorder="0" applyAlignment="0" applyProtection="0"/>
    <xf numFmtId="171" fontId="100" fillId="0" borderId="0" applyFont="0" applyFill="0" applyBorder="0" applyAlignment="0" applyProtection="0"/>
    <xf numFmtId="241" fontId="12" fillId="0" borderId="0" applyFont="0" applyFill="0" applyBorder="0" applyAlignment="0" applyProtection="0"/>
    <xf numFmtId="240" fontId="100" fillId="0" borderId="0" applyFont="0" applyFill="0" applyBorder="0" applyAlignment="0" applyProtection="0"/>
    <xf numFmtId="243" fontId="45" fillId="0" borderId="0" applyFont="0" applyFill="0" applyBorder="0" applyAlignment="0" applyProtection="0"/>
    <xf numFmtId="244" fontId="12" fillId="0" borderId="0" applyFont="0" applyFill="0" applyBorder="0" applyAlignment="0" applyProtection="0"/>
    <xf numFmtId="216" fontId="12" fillId="0" borderId="0" applyFont="0" applyFill="0" applyBorder="0" applyAlignment="0" applyProtection="0"/>
    <xf numFmtId="0" fontId="12" fillId="0" borderId="0" applyFont="0" applyFill="0" applyBorder="0" applyAlignment="0" applyProtection="0"/>
    <xf numFmtId="165" fontId="12" fillId="0" borderId="0" applyFont="0" applyFill="0" applyBorder="0" applyAlignment="0" applyProtection="0"/>
    <xf numFmtId="178" fontId="12" fillId="0" borderId="0" applyFont="0" applyFill="0" applyBorder="0" applyAlignment="0" applyProtection="0"/>
    <xf numFmtId="188" fontId="12" fillId="0" borderId="0" applyFont="0" applyFill="0" applyBorder="0" applyAlignment="0" applyProtection="0"/>
    <xf numFmtId="230" fontId="12" fillId="0" borderId="0" applyFont="0" applyFill="0" applyBorder="0" applyAlignment="0" applyProtection="0"/>
    <xf numFmtId="188"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230" fontId="12" fillId="0" borderId="0" applyFont="0" applyFill="0" applyBorder="0" applyAlignment="0" applyProtection="0"/>
    <xf numFmtId="178" fontId="12" fillId="0" borderId="0" applyFont="0" applyFill="0" applyBorder="0" applyAlignment="0" applyProtection="0"/>
    <xf numFmtId="231" fontId="12" fillId="0" borderId="0" applyFont="0" applyFill="0" applyBorder="0" applyAlignment="0" applyProtection="0"/>
    <xf numFmtId="0" fontId="12" fillId="0" borderId="0" applyFont="0" applyFill="0" applyBorder="0" applyAlignment="0" applyProtection="0"/>
    <xf numFmtId="165" fontId="12" fillId="0" borderId="0" applyFont="0" applyFill="0" applyBorder="0" applyAlignment="0" applyProtection="0"/>
    <xf numFmtId="0" fontId="12" fillId="0" borderId="0" applyFont="0" applyFill="0" applyBorder="0" applyAlignment="0" applyProtection="0"/>
    <xf numFmtId="188" fontId="12" fillId="0" borderId="0" applyFont="0" applyFill="0" applyBorder="0" applyAlignment="0" applyProtection="0"/>
    <xf numFmtId="188" fontId="12" fillId="0" borderId="0" applyFont="0" applyFill="0" applyBorder="0" applyAlignment="0" applyProtection="0"/>
    <xf numFmtId="178" fontId="12" fillId="0" borderId="0" applyFont="0" applyFill="0" applyBorder="0" applyAlignment="0" applyProtection="0"/>
    <xf numFmtId="218" fontId="12" fillId="0" borderId="0" applyFont="0" applyFill="0" applyBorder="0" applyAlignment="0" applyProtection="0"/>
    <xf numFmtId="188" fontId="12" fillId="0" borderId="0" applyFont="0" applyFill="0" applyBorder="0" applyAlignment="0" applyProtection="0"/>
    <xf numFmtId="232" fontId="12" fillId="0" borderId="0" applyFont="0" applyFill="0" applyBorder="0" applyAlignment="0" applyProtection="0"/>
    <xf numFmtId="232" fontId="12" fillId="0" borderId="0" applyFont="0" applyFill="0" applyBorder="0" applyAlignment="0" applyProtection="0"/>
    <xf numFmtId="178" fontId="12" fillId="0" borderId="0" applyFont="0" applyFill="0" applyBorder="0" applyAlignment="0" applyProtection="0"/>
    <xf numFmtId="230" fontId="12" fillId="0" borderId="0" applyFont="0" applyFill="0" applyBorder="0" applyAlignment="0" applyProtection="0"/>
    <xf numFmtId="230" fontId="12" fillId="0" borderId="0" applyFont="0" applyFill="0" applyBorder="0" applyAlignment="0" applyProtection="0"/>
    <xf numFmtId="165" fontId="12" fillId="0" borderId="0" applyFont="0" applyFill="0" applyBorder="0" applyAlignment="0" applyProtection="0"/>
    <xf numFmtId="188" fontId="12" fillId="0" borderId="0" applyFont="0" applyFill="0" applyBorder="0" applyAlignment="0" applyProtection="0"/>
    <xf numFmtId="165" fontId="12" fillId="0" borderId="0" applyFont="0" applyFill="0" applyBorder="0" applyAlignment="0" applyProtection="0"/>
    <xf numFmtId="230" fontId="12" fillId="0" borderId="0" applyFont="0" applyFill="0" applyBorder="0" applyAlignment="0" applyProtection="0"/>
    <xf numFmtId="188" fontId="12" fillId="0" borderId="0" applyFont="0" applyFill="0" applyBorder="0" applyAlignment="0" applyProtection="0"/>
    <xf numFmtId="188" fontId="12" fillId="0" borderId="0" applyFont="0" applyFill="0" applyBorder="0" applyAlignment="0" applyProtection="0"/>
    <xf numFmtId="188" fontId="12" fillId="0" borderId="0" applyFont="0" applyFill="0" applyBorder="0" applyAlignment="0" applyProtection="0"/>
    <xf numFmtId="218" fontId="12" fillId="0" borderId="0" applyFont="0" applyFill="0" applyBorder="0" applyAlignment="0" applyProtection="0"/>
    <xf numFmtId="218" fontId="12" fillId="0" borderId="0" applyFont="0" applyFill="0" applyBorder="0" applyAlignment="0" applyProtection="0"/>
    <xf numFmtId="230" fontId="12" fillId="0" borderId="0" applyFont="0" applyFill="0" applyBorder="0" applyAlignment="0" applyProtection="0"/>
    <xf numFmtId="233" fontId="12" fillId="0" borderId="0" applyFont="0" applyFill="0" applyBorder="0" applyAlignment="0" applyProtection="0"/>
    <xf numFmtId="165" fontId="12" fillId="0" borderId="0" applyFont="0" applyFill="0" applyBorder="0" applyAlignment="0" applyProtection="0"/>
    <xf numFmtId="234" fontId="4" fillId="0" borderId="0" applyFont="0" applyFill="0" applyBorder="0" applyAlignment="0" applyProtection="0"/>
    <xf numFmtId="188" fontId="12" fillId="0" borderId="0" applyFont="0" applyFill="0" applyBorder="0" applyAlignment="0" applyProtection="0"/>
    <xf numFmtId="230" fontId="12" fillId="0" borderId="0" applyFont="0" applyFill="0" applyBorder="0" applyAlignment="0" applyProtection="0"/>
    <xf numFmtId="188" fontId="12" fillId="0" borderId="0" applyFont="0" applyFill="0" applyBorder="0" applyAlignment="0" applyProtection="0"/>
    <xf numFmtId="188" fontId="12" fillId="0" borderId="0" applyFont="0" applyFill="0" applyBorder="0" applyAlignment="0" applyProtection="0"/>
    <xf numFmtId="188" fontId="12" fillId="0" borderId="0" applyFont="0" applyFill="0" applyBorder="0" applyAlignment="0" applyProtection="0"/>
    <xf numFmtId="230" fontId="12" fillId="0" borderId="0" applyFont="0" applyFill="0" applyBorder="0" applyAlignment="0" applyProtection="0"/>
    <xf numFmtId="188" fontId="12" fillId="0" borderId="0" applyFont="0" applyFill="0" applyBorder="0" applyAlignment="0" applyProtection="0"/>
    <xf numFmtId="230" fontId="12" fillId="0" borderId="0" applyFont="0" applyFill="0" applyBorder="0" applyAlignment="0" applyProtection="0"/>
    <xf numFmtId="171" fontId="100" fillId="0" borderId="0" applyFont="0" applyFill="0" applyBorder="0" applyAlignment="0" applyProtection="0"/>
    <xf numFmtId="235" fontId="12" fillId="0" borderId="0" applyFont="0" applyFill="0" applyBorder="0" applyAlignment="0" applyProtection="0"/>
    <xf numFmtId="235" fontId="12" fillId="0" borderId="0" applyFont="0" applyFill="0" applyBorder="0" applyAlignment="0" applyProtection="0"/>
    <xf numFmtId="236" fontId="7" fillId="0" borderId="0" applyFont="0" applyFill="0" applyBorder="0" applyAlignment="0" applyProtection="0"/>
    <xf numFmtId="236" fontId="7" fillId="0" borderId="0" applyFont="0" applyFill="0" applyBorder="0" applyAlignment="0" applyProtection="0"/>
    <xf numFmtId="172" fontId="100" fillId="0" borderId="0" applyFont="0" applyFill="0" applyBorder="0" applyAlignment="0" applyProtection="0"/>
    <xf numFmtId="235" fontId="12" fillId="0" borderId="0" applyFont="0" applyFill="0" applyBorder="0" applyAlignment="0" applyProtection="0"/>
    <xf numFmtId="171" fontId="100" fillId="0" borderId="0" applyFont="0" applyFill="0" applyBorder="0" applyAlignment="0" applyProtection="0"/>
    <xf numFmtId="211" fontId="45" fillId="0" borderId="0" applyFont="0" applyFill="0" applyBorder="0" applyAlignment="0" applyProtection="0"/>
    <xf numFmtId="233" fontId="12" fillId="0" borderId="0" applyFont="0" applyFill="0" applyBorder="0" applyAlignment="0" applyProtection="0"/>
    <xf numFmtId="188" fontId="12" fillId="0" borderId="0" applyFont="0" applyFill="0" applyBorder="0" applyAlignment="0" applyProtection="0"/>
    <xf numFmtId="172" fontId="12"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229" fontId="4" fillId="0" borderId="0" applyFont="0" applyFill="0" applyBorder="0" applyAlignment="0" applyProtection="0"/>
    <xf numFmtId="229" fontId="4" fillId="0" borderId="0" applyFont="0" applyFill="0" applyBorder="0" applyAlignment="0" applyProtection="0"/>
    <xf numFmtId="172" fontId="12" fillId="0" borderId="0" applyFont="0" applyFill="0" applyBorder="0" applyAlignment="0" applyProtection="0"/>
    <xf numFmtId="188" fontId="12" fillId="0" borderId="0" applyFont="0" applyFill="0" applyBorder="0" applyAlignment="0" applyProtection="0"/>
    <xf numFmtId="188" fontId="12" fillId="0" borderId="0" applyFont="0" applyFill="0" applyBorder="0" applyAlignment="0" applyProtection="0"/>
    <xf numFmtId="165" fontId="12" fillId="0" borderId="0" applyFont="0" applyFill="0" applyBorder="0" applyAlignment="0" applyProtection="0"/>
    <xf numFmtId="188" fontId="12" fillId="0" borderId="0" applyFont="0" applyFill="0" applyBorder="0" applyAlignment="0" applyProtection="0"/>
    <xf numFmtId="174" fontId="12" fillId="0" borderId="0" applyFont="0" applyFill="0" applyBorder="0" applyAlignment="0" applyProtection="0"/>
    <xf numFmtId="164" fontId="12" fillId="0" borderId="0" applyFont="0" applyFill="0" applyBorder="0" applyAlignment="0" applyProtection="0"/>
    <xf numFmtId="177" fontId="12" fillId="0" borderId="0" applyFont="0" applyFill="0" applyBorder="0" applyAlignment="0" applyProtection="0"/>
    <xf numFmtId="245" fontId="12" fillId="0" borderId="0" applyFont="0" applyFill="0" applyBorder="0" applyAlignment="0" applyProtection="0"/>
    <xf numFmtId="174" fontId="12" fillId="0" borderId="0" applyFont="0" applyFill="0" applyBorder="0" applyAlignment="0" applyProtection="0"/>
    <xf numFmtId="245"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74" fontId="12" fillId="0" borderId="0" applyFont="0" applyFill="0" applyBorder="0" applyAlignment="0" applyProtection="0"/>
    <xf numFmtId="177" fontId="12" fillId="0" borderId="0" applyFont="0" applyFill="0" applyBorder="0" applyAlignment="0" applyProtection="0"/>
    <xf numFmtId="246" fontId="12" fillId="0" borderId="0" applyFont="0" applyFill="0" applyBorder="0" applyAlignment="0" applyProtection="0"/>
    <xf numFmtId="174" fontId="4" fillId="0" borderId="0" applyFont="0" applyFill="0" applyBorder="0" applyAlignment="0" applyProtection="0"/>
    <xf numFmtId="164" fontId="12" fillId="0" borderId="0" applyFont="0" applyFill="0" applyBorder="0" applyAlignment="0" applyProtection="0"/>
    <xf numFmtId="174" fontId="4" fillId="0" borderId="0" applyFont="0" applyFill="0" applyBorder="0" applyAlignment="0" applyProtection="0"/>
    <xf numFmtId="245" fontId="12" fillId="0" borderId="0" applyFont="0" applyFill="0" applyBorder="0" applyAlignment="0" applyProtection="0"/>
    <xf numFmtId="245" fontId="12" fillId="0" borderId="0" applyFont="0" applyFill="0" applyBorder="0" applyAlignment="0" applyProtection="0"/>
    <xf numFmtId="177" fontId="12" fillId="0" borderId="0" applyFont="0" applyFill="0" applyBorder="0" applyAlignment="0" applyProtection="0"/>
    <xf numFmtId="247" fontId="12" fillId="0" borderId="0" applyFont="0" applyFill="0" applyBorder="0" applyAlignment="0" applyProtection="0"/>
    <xf numFmtId="245" fontId="12" fillId="0" borderId="0" applyFont="0" applyFill="0" applyBorder="0" applyAlignment="0" applyProtection="0"/>
    <xf numFmtId="248" fontId="12" fillId="0" borderId="0" applyFont="0" applyFill="0" applyBorder="0" applyAlignment="0" applyProtection="0"/>
    <xf numFmtId="249" fontId="12" fillId="0" borderId="0" applyFont="0" applyFill="0" applyBorder="0" applyAlignment="0" applyProtection="0"/>
    <xf numFmtId="248" fontId="12" fillId="0" borderId="0" applyFont="0" applyFill="0" applyBorder="0" applyAlignment="0" applyProtection="0"/>
    <xf numFmtId="177"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64" fontId="12" fillId="0" borderId="0" applyFont="0" applyFill="0" applyBorder="0" applyAlignment="0" applyProtection="0"/>
    <xf numFmtId="245" fontId="12" fillId="0" borderId="0" applyFont="0" applyFill="0" applyBorder="0" applyAlignment="0" applyProtection="0"/>
    <xf numFmtId="164" fontId="12" fillId="0" borderId="0" applyFont="0" applyFill="0" applyBorder="0" applyAlignment="0" applyProtection="0"/>
    <xf numFmtId="174" fontId="12" fillId="0" borderId="0" applyFont="0" applyFill="0" applyBorder="0" applyAlignment="0" applyProtection="0"/>
    <xf numFmtId="245" fontId="12" fillId="0" borderId="0" applyFont="0" applyFill="0" applyBorder="0" applyAlignment="0" applyProtection="0"/>
    <xf numFmtId="245" fontId="12" fillId="0" borderId="0" applyFont="0" applyFill="0" applyBorder="0" applyAlignment="0" applyProtection="0"/>
    <xf numFmtId="245" fontId="12" fillId="0" borderId="0" applyFont="0" applyFill="0" applyBorder="0" applyAlignment="0" applyProtection="0"/>
    <xf numFmtId="247" fontId="12" fillId="0" borderId="0" applyFont="0" applyFill="0" applyBorder="0" applyAlignment="0" applyProtection="0"/>
    <xf numFmtId="247" fontId="12" fillId="0" borderId="0" applyFont="0" applyFill="0" applyBorder="0" applyAlignment="0" applyProtection="0"/>
    <xf numFmtId="174" fontId="12" fillId="0" borderId="0" applyFont="0" applyFill="0" applyBorder="0" applyAlignment="0" applyProtection="0"/>
    <xf numFmtId="250" fontId="12" fillId="0" borderId="0" applyFont="0" applyFill="0" applyBorder="0" applyAlignment="0" applyProtection="0"/>
    <xf numFmtId="164" fontId="12" fillId="0" borderId="0" applyFont="0" applyFill="0" applyBorder="0" applyAlignment="0" applyProtection="0"/>
    <xf numFmtId="251" fontId="4" fillId="0" borderId="0" applyFont="0" applyFill="0" applyBorder="0" applyAlignment="0" applyProtection="0"/>
    <xf numFmtId="245" fontId="12" fillId="0" borderId="0" applyFont="0" applyFill="0" applyBorder="0" applyAlignment="0" applyProtection="0"/>
    <xf numFmtId="174" fontId="12" fillId="0" borderId="0" applyFont="0" applyFill="0" applyBorder="0" applyAlignment="0" applyProtection="0"/>
    <xf numFmtId="245" fontId="12" fillId="0" borderId="0" applyFont="0" applyFill="0" applyBorder="0" applyAlignment="0" applyProtection="0"/>
    <xf numFmtId="245" fontId="12" fillId="0" borderId="0" applyFont="0" applyFill="0" applyBorder="0" applyAlignment="0" applyProtection="0"/>
    <xf numFmtId="245" fontId="12" fillId="0" borderId="0" applyFont="0" applyFill="0" applyBorder="0" applyAlignment="0" applyProtection="0"/>
    <xf numFmtId="174" fontId="12" fillId="0" borderId="0" applyFont="0" applyFill="0" applyBorder="0" applyAlignment="0" applyProtection="0"/>
    <xf numFmtId="245" fontId="12" fillId="0" borderId="0" applyFont="0" applyFill="0" applyBorder="0" applyAlignment="0" applyProtection="0"/>
    <xf numFmtId="174" fontId="12" fillId="0" borderId="0" applyFont="0" applyFill="0" applyBorder="0" applyAlignment="0" applyProtection="0"/>
    <xf numFmtId="216" fontId="100" fillId="0" borderId="0" applyFont="0" applyFill="0" applyBorder="0" applyAlignment="0" applyProtection="0"/>
    <xf numFmtId="252" fontId="12" fillId="0" borderId="0" applyFont="0" applyFill="0" applyBorder="0" applyAlignment="0" applyProtection="0"/>
    <xf numFmtId="252" fontId="12" fillId="0" borderId="0" applyFont="0" applyFill="0" applyBorder="0" applyAlignment="0" applyProtection="0"/>
    <xf numFmtId="253" fontId="7" fillId="0" borderId="0" applyFont="0" applyFill="0" applyBorder="0" applyAlignment="0" applyProtection="0"/>
    <xf numFmtId="253" fontId="7" fillId="0" borderId="0" applyFont="0" applyFill="0" applyBorder="0" applyAlignment="0" applyProtection="0"/>
    <xf numFmtId="184" fontId="100" fillId="0" borderId="0" applyFont="0" applyFill="0" applyBorder="0" applyAlignment="0" applyProtection="0"/>
    <xf numFmtId="252" fontId="12" fillId="0" borderId="0" applyFont="0" applyFill="0" applyBorder="0" applyAlignment="0" applyProtection="0"/>
    <xf numFmtId="216" fontId="100" fillId="0" borderId="0" applyFont="0" applyFill="0" applyBorder="0" applyAlignment="0" applyProtection="0"/>
    <xf numFmtId="254" fontId="45" fillId="0" borderId="0" applyFont="0" applyFill="0" applyBorder="0" applyAlignment="0" applyProtection="0"/>
    <xf numFmtId="245"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245" fontId="12" fillId="0" borderId="0" applyFont="0" applyFill="0" applyBorder="0" applyAlignment="0" applyProtection="0"/>
    <xf numFmtId="245" fontId="12" fillId="0" borderId="0" applyFont="0" applyFill="0" applyBorder="0" applyAlignment="0" applyProtection="0"/>
    <xf numFmtId="164" fontId="12" fillId="0" borderId="0" applyFont="0" applyFill="0" applyBorder="0" applyAlignment="0" applyProtection="0"/>
    <xf numFmtId="245" fontId="12" fillId="0" borderId="0" applyFont="0" applyFill="0" applyBorder="0" applyAlignment="0" applyProtection="0"/>
    <xf numFmtId="208" fontId="4" fillId="0" borderId="0" applyFont="0" applyFill="0" applyBorder="0" applyAlignment="0" applyProtection="0"/>
    <xf numFmtId="224" fontId="12" fillId="0" borderId="0" applyFont="0" applyFill="0" applyBorder="0" applyAlignment="0" applyProtection="0"/>
    <xf numFmtId="225" fontId="12" fillId="0" borderId="0" applyFont="0" applyFill="0" applyBorder="0" applyAlignment="0" applyProtection="0"/>
    <xf numFmtId="224" fontId="12" fillId="0" borderId="0" applyFont="0" applyFill="0" applyBorder="0" applyAlignment="0" applyProtection="0"/>
    <xf numFmtId="216" fontId="99" fillId="0" borderId="0" applyFont="0" applyFill="0" applyBorder="0" applyAlignment="0" applyProtection="0"/>
    <xf numFmtId="226" fontId="4" fillId="0" borderId="0" applyFont="0" applyFill="0" applyBorder="0" applyAlignment="0" applyProtection="0"/>
    <xf numFmtId="216" fontId="12" fillId="0" borderId="0" applyFont="0" applyFill="0" applyBorder="0" applyAlignment="0" applyProtection="0"/>
    <xf numFmtId="216" fontId="12" fillId="0" borderId="0" applyFont="0" applyFill="0" applyBorder="0" applyAlignment="0" applyProtection="0"/>
    <xf numFmtId="224" fontId="12" fillId="0" borderId="0" applyFont="0" applyFill="0" applyBorder="0" applyAlignment="0" applyProtection="0"/>
    <xf numFmtId="216" fontId="99" fillId="0" borderId="0" applyFont="0" applyFill="0" applyBorder="0" applyAlignment="0" applyProtection="0"/>
    <xf numFmtId="237" fontId="12" fillId="0" borderId="0" applyFont="0" applyFill="0" applyBorder="0" applyAlignment="0" applyProtection="0"/>
    <xf numFmtId="208" fontId="4" fillId="0" borderId="0" applyFont="0" applyFill="0" applyBorder="0" applyAlignment="0" applyProtection="0"/>
    <xf numFmtId="238" fontId="100" fillId="0" borderId="0" applyFont="0" applyFill="0" applyBorder="0" applyAlignment="0" applyProtection="0"/>
    <xf numFmtId="239" fontId="12" fillId="0" borderId="0" applyFont="0" applyFill="0" applyBorder="0" applyAlignment="0" applyProtection="0"/>
    <xf numFmtId="239" fontId="12" fillId="0" borderId="0" applyFont="0" applyFill="0" applyBorder="0" applyAlignment="0" applyProtection="0"/>
    <xf numFmtId="240" fontId="100" fillId="0" borderId="0" applyFont="0" applyFill="0" applyBorder="0" applyAlignment="0" applyProtection="0"/>
    <xf numFmtId="239" fontId="12" fillId="0" borderId="0" applyFont="0" applyFill="0" applyBorder="0" applyAlignment="0" applyProtection="0"/>
    <xf numFmtId="238" fontId="100" fillId="0" borderId="0" applyFont="0" applyFill="0" applyBorder="0" applyAlignment="0" applyProtection="0"/>
    <xf numFmtId="239" fontId="12" fillId="0" borderId="0" applyFont="0" applyFill="0" applyBorder="0" applyAlignment="0" applyProtection="0"/>
    <xf numFmtId="208" fontId="12" fillId="0" borderId="0" applyFont="0" applyFill="0" applyBorder="0" applyAlignment="0" applyProtection="0"/>
    <xf numFmtId="208" fontId="12" fillId="0" borderId="0" applyFont="0" applyFill="0" applyBorder="0" applyAlignment="0" applyProtection="0"/>
    <xf numFmtId="240" fontId="100" fillId="0" borderId="0" applyFont="0" applyFill="0" applyBorder="0" applyAlignment="0" applyProtection="0"/>
    <xf numFmtId="241" fontId="12" fillId="0" borderId="0" applyFont="0" applyFill="0" applyBorder="0" applyAlignment="0" applyProtection="0"/>
    <xf numFmtId="241" fontId="12" fillId="0" borderId="0" applyFont="0" applyFill="0" applyBorder="0" applyAlignment="0" applyProtection="0"/>
    <xf numFmtId="242" fontId="7" fillId="0" borderId="0" applyFont="0" applyFill="0" applyBorder="0" applyAlignment="0" applyProtection="0"/>
    <xf numFmtId="242" fontId="7" fillId="0" borderId="0" applyFont="0" applyFill="0" applyBorder="0" applyAlignment="0" applyProtection="0"/>
    <xf numFmtId="171" fontId="100" fillId="0" borderId="0" applyFont="0" applyFill="0" applyBorder="0" applyAlignment="0" applyProtection="0"/>
    <xf numFmtId="241" fontId="12" fillId="0" borderId="0" applyFont="0" applyFill="0" applyBorder="0" applyAlignment="0" applyProtection="0"/>
    <xf numFmtId="240" fontId="100" fillId="0" borderId="0" applyFont="0" applyFill="0" applyBorder="0" applyAlignment="0" applyProtection="0"/>
    <xf numFmtId="243" fontId="45" fillId="0" borderId="0" applyFont="0" applyFill="0" applyBorder="0" applyAlignment="0" applyProtection="0"/>
    <xf numFmtId="244" fontId="12" fillId="0" borderId="0" applyFont="0" applyFill="0" applyBorder="0" applyAlignment="0" applyProtection="0"/>
    <xf numFmtId="171" fontId="4" fillId="0" borderId="0" applyFont="0" applyFill="0" applyBorder="0" applyAlignment="0" applyProtection="0"/>
    <xf numFmtId="216" fontId="12" fillId="0" borderId="0" applyFont="0" applyFill="0" applyBorder="0" applyAlignment="0" applyProtection="0"/>
    <xf numFmtId="172" fontId="4" fillId="0" borderId="0" applyFont="0" applyFill="0" applyBorder="0" applyAlignment="0" applyProtection="0"/>
    <xf numFmtId="174" fontId="12" fillId="0" borderId="0" applyFont="0" applyFill="0" applyBorder="0" applyAlignment="0" applyProtection="0"/>
    <xf numFmtId="164" fontId="12" fillId="0" borderId="0" applyFont="0" applyFill="0" applyBorder="0" applyAlignment="0" applyProtection="0"/>
    <xf numFmtId="177" fontId="12" fillId="0" borderId="0" applyFont="0" applyFill="0" applyBorder="0" applyAlignment="0" applyProtection="0"/>
    <xf numFmtId="245" fontId="12" fillId="0" borderId="0" applyFont="0" applyFill="0" applyBorder="0" applyAlignment="0" applyProtection="0"/>
    <xf numFmtId="174" fontId="12" fillId="0" borderId="0" applyFont="0" applyFill="0" applyBorder="0" applyAlignment="0" applyProtection="0"/>
    <xf numFmtId="245"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74" fontId="12" fillId="0" borderId="0" applyFont="0" applyFill="0" applyBorder="0" applyAlignment="0" applyProtection="0"/>
    <xf numFmtId="177" fontId="12" fillId="0" borderId="0" applyFont="0" applyFill="0" applyBorder="0" applyAlignment="0" applyProtection="0"/>
    <xf numFmtId="246" fontId="12" fillId="0" borderId="0" applyFont="0" applyFill="0" applyBorder="0" applyAlignment="0" applyProtection="0"/>
    <xf numFmtId="174" fontId="4" fillId="0" borderId="0" applyFont="0" applyFill="0" applyBorder="0" applyAlignment="0" applyProtection="0"/>
    <xf numFmtId="164" fontId="12" fillId="0" borderId="0" applyFont="0" applyFill="0" applyBorder="0" applyAlignment="0" applyProtection="0"/>
    <xf numFmtId="174" fontId="4" fillId="0" borderId="0" applyFont="0" applyFill="0" applyBorder="0" applyAlignment="0" applyProtection="0"/>
    <xf numFmtId="245" fontId="12" fillId="0" borderId="0" applyFont="0" applyFill="0" applyBorder="0" applyAlignment="0" applyProtection="0"/>
    <xf numFmtId="245" fontId="12" fillId="0" borderId="0" applyFont="0" applyFill="0" applyBorder="0" applyAlignment="0" applyProtection="0"/>
    <xf numFmtId="177" fontId="12" fillId="0" borderId="0" applyFont="0" applyFill="0" applyBorder="0" applyAlignment="0" applyProtection="0"/>
    <xf numFmtId="247" fontId="12" fillId="0" borderId="0" applyFont="0" applyFill="0" applyBorder="0" applyAlignment="0" applyProtection="0"/>
    <xf numFmtId="245" fontId="12" fillId="0" borderId="0" applyFont="0" applyFill="0" applyBorder="0" applyAlignment="0" applyProtection="0"/>
    <xf numFmtId="248" fontId="12" fillId="0" borderId="0" applyFont="0" applyFill="0" applyBorder="0" applyAlignment="0" applyProtection="0"/>
    <xf numFmtId="249" fontId="12" fillId="0" borderId="0" applyFont="0" applyFill="0" applyBorder="0" applyAlignment="0" applyProtection="0"/>
    <xf numFmtId="248" fontId="12" fillId="0" borderId="0" applyFont="0" applyFill="0" applyBorder="0" applyAlignment="0" applyProtection="0"/>
    <xf numFmtId="177"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64" fontId="12" fillId="0" borderId="0" applyFont="0" applyFill="0" applyBorder="0" applyAlignment="0" applyProtection="0"/>
    <xf numFmtId="245" fontId="12" fillId="0" borderId="0" applyFont="0" applyFill="0" applyBorder="0" applyAlignment="0" applyProtection="0"/>
    <xf numFmtId="164" fontId="12" fillId="0" borderId="0" applyFont="0" applyFill="0" applyBorder="0" applyAlignment="0" applyProtection="0"/>
    <xf numFmtId="174" fontId="12" fillId="0" borderId="0" applyFont="0" applyFill="0" applyBorder="0" applyAlignment="0" applyProtection="0"/>
    <xf numFmtId="245" fontId="12" fillId="0" borderId="0" applyFont="0" applyFill="0" applyBorder="0" applyAlignment="0" applyProtection="0"/>
    <xf numFmtId="245" fontId="12" fillId="0" borderId="0" applyFont="0" applyFill="0" applyBorder="0" applyAlignment="0" applyProtection="0"/>
    <xf numFmtId="245" fontId="12" fillId="0" borderId="0" applyFont="0" applyFill="0" applyBorder="0" applyAlignment="0" applyProtection="0"/>
    <xf numFmtId="247" fontId="12" fillId="0" borderId="0" applyFont="0" applyFill="0" applyBorder="0" applyAlignment="0" applyProtection="0"/>
    <xf numFmtId="247" fontId="12" fillId="0" borderId="0" applyFont="0" applyFill="0" applyBorder="0" applyAlignment="0" applyProtection="0"/>
    <xf numFmtId="174" fontId="12" fillId="0" borderId="0" applyFont="0" applyFill="0" applyBorder="0" applyAlignment="0" applyProtection="0"/>
    <xf numFmtId="250" fontId="12" fillId="0" borderId="0" applyFont="0" applyFill="0" applyBorder="0" applyAlignment="0" applyProtection="0"/>
    <xf numFmtId="164" fontId="12" fillId="0" borderId="0" applyFont="0" applyFill="0" applyBorder="0" applyAlignment="0" applyProtection="0"/>
    <xf numFmtId="251" fontId="4" fillId="0" borderId="0" applyFont="0" applyFill="0" applyBorder="0" applyAlignment="0" applyProtection="0"/>
    <xf numFmtId="245" fontId="12" fillId="0" borderId="0" applyFont="0" applyFill="0" applyBorder="0" applyAlignment="0" applyProtection="0"/>
    <xf numFmtId="174" fontId="12" fillId="0" borderId="0" applyFont="0" applyFill="0" applyBorder="0" applyAlignment="0" applyProtection="0"/>
    <xf numFmtId="245" fontId="12" fillId="0" borderId="0" applyFont="0" applyFill="0" applyBorder="0" applyAlignment="0" applyProtection="0"/>
    <xf numFmtId="245" fontId="12" fillId="0" borderId="0" applyFont="0" applyFill="0" applyBorder="0" applyAlignment="0" applyProtection="0"/>
    <xf numFmtId="245" fontId="12" fillId="0" borderId="0" applyFont="0" applyFill="0" applyBorder="0" applyAlignment="0" applyProtection="0"/>
    <xf numFmtId="174" fontId="12" fillId="0" borderId="0" applyFont="0" applyFill="0" applyBorder="0" applyAlignment="0" applyProtection="0"/>
    <xf numFmtId="245" fontId="12" fillId="0" borderId="0" applyFont="0" applyFill="0" applyBorder="0" applyAlignment="0" applyProtection="0"/>
    <xf numFmtId="174" fontId="12" fillId="0" borderId="0" applyFont="0" applyFill="0" applyBorder="0" applyAlignment="0" applyProtection="0"/>
    <xf numFmtId="216" fontId="100" fillId="0" borderId="0" applyFont="0" applyFill="0" applyBorder="0" applyAlignment="0" applyProtection="0"/>
    <xf numFmtId="252" fontId="12" fillId="0" borderId="0" applyFont="0" applyFill="0" applyBorder="0" applyAlignment="0" applyProtection="0"/>
    <xf numFmtId="252" fontId="12" fillId="0" borderId="0" applyFont="0" applyFill="0" applyBorder="0" applyAlignment="0" applyProtection="0"/>
    <xf numFmtId="253" fontId="7" fillId="0" borderId="0" applyFont="0" applyFill="0" applyBorder="0" applyAlignment="0" applyProtection="0"/>
    <xf numFmtId="253" fontId="7" fillId="0" borderId="0" applyFont="0" applyFill="0" applyBorder="0" applyAlignment="0" applyProtection="0"/>
    <xf numFmtId="184" fontId="100" fillId="0" borderId="0" applyFont="0" applyFill="0" applyBorder="0" applyAlignment="0" applyProtection="0"/>
    <xf numFmtId="252" fontId="12" fillId="0" borderId="0" applyFont="0" applyFill="0" applyBorder="0" applyAlignment="0" applyProtection="0"/>
    <xf numFmtId="216" fontId="100" fillId="0" borderId="0" applyFont="0" applyFill="0" applyBorder="0" applyAlignment="0" applyProtection="0"/>
    <xf numFmtId="254" fontId="45" fillId="0" borderId="0" applyFont="0" applyFill="0" applyBorder="0" applyAlignment="0" applyProtection="0"/>
    <xf numFmtId="245"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245" fontId="12" fillId="0" borderId="0" applyFont="0" applyFill="0" applyBorder="0" applyAlignment="0" applyProtection="0"/>
    <xf numFmtId="245" fontId="12" fillId="0" borderId="0" applyFont="0" applyFill="0" applyBorder="0" applyAlignment="0" applyProtection="0"/>
    <xf numFmtId="164" fontId="12" fillId="0" borderId="0" applyFont="0" applyFill="0" applyBorder="0" applyAlignment="0" applyProtection="0"/>
    <xf numFmtId="245" fontId="12" fillId="0" borderId="0" applyFont="0" applyFill="0" applyBorder="0" applyAlignment="0" applyProtection="0"/>
    <xf numFmtId="0" fontId="12" fillId="0" borderId="0" applyFont="0" applyFill="0" applyBorder="0" applyAlignment="0" applyProtection="0"/>
    <xf numFmtId="165" fontId="12" fillId="0" borderId="0" applyFont="0" applyFill="0" applyBorder="0" applyAlignment="0" applyProtection="0"/>
    <xf numFmtId="178" fontId="12" fillId="0" borderId="0" applyFont="0" applyFill="0" applyBorder="0" applyAlignment="0" applyProtection="0"/>
    <xf numFmtId="188" fontId="12" fillId="0" borderId="0" applyFont="0" applyFill="0" applyBorder="0" applyAlignment="0" applyProtection="0"/>
    <xf numFmtId="230" fontId="12" fillId="0" borderId="0" applyFont="0" applyFill="0" applyBorder="0" applyAlignment="0" applyProtection="0"/>
    <xf numFmtId="188"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230" fontId="12" fillId="0" borderId="0" applyFont="0" applyFill="0" applyBorder="0" applyAlignment="0" applyProtection="0"/>
    <xf numFmtId="178" fontId="12" fillId="0" borderId="0" applyFont="0" applyFill="0" applyBorder="0" applyAlignment="0" applyProtection="0"/>
    <xf numFmtId="231" fontId="12" fillId="0" borderId="0" applyFont="0" applyFill="0" applyBorder="0" applyAlignment="0" applyProtection="0"/>
    <xf numFmtId="0" fontId="12" fillId="0" borderId="0" applyFont="0" applyFill="0" applyBorder="0" applyAlignment="0" applyProtection="0"/>
    <xf numFmtId="165" fontId="12" fillId="0" borderId="0" applyFont="0" applyFill="0" applyBorder="0" applyAlignment="0" applyProtection="0"/>
    <xf numFmtId="0" fontId="12" fillId="0" borderId="0" applyFont="0" applyFill="0" applyBorder="0" applyAlignment="0" applyProtection="0"/>
    <xf numFmtId="188" fontId="12" fillId="0" borderId="0" applyFont="0" applyFill="0" applyBorder="0" applyAlignment="0" applyProtection="0"/>
    <xf numFmtId="188" fontId="12" fillId="0" borderId="0" applyFont="0" applyFill="0" applyBorder="0" applyAlignment="0" applyProtection="0"/>
    <xf numFmtId="178" fontId="12" fillId="0" borderId="0" applyFont="0" applyFill="0" applyBorder="0" applyAlignment="0" applyProtection="0"/>
    <xf numFmtId="218" fontId="12" fillId="0" borderId="0" applyFont="0" applyFill="0" applyBorder="0" applyAlignment="0" applyProtection="0"/>
    <xf numFmtId="188" fontId="12" fillId="0" borderId="0" applyFont="0" applyFill="0" applyBorder="0" applyAlignment="0" applyProtection="0"/>
    <xf numFmtId="232" fontId="12" fillId="0" borderId="0" applyFont="0" applyFill="0" applyBorder="0" applyAlignment="0" applyProtection="0"/>
    <xf numFmtId="232" fontId="12" fillId="0" borderId="0" applyFont="0" applyFill="0" applyBorder="0" applyAlignment="0" applyProtection="0"/>
    <xf numFmtId="178" fontId="12" fillId="0" borderId="0" applyFont="0" applyFill="0" applyBorder="0" applyAlignment="0" applyProtection="0"/>
    <xf numFmtId="230" fontId="12" fillId="0" borderId="0" applyFont="0" applyFill="0" applyBorder="0" applyAlignment="0" applyProtection="0"/>
    <xf numFmtId="230" fontId="12" fillId="0" borderId="0" applyFont="0" applyFill="0" applyBorder="0" applyAlignment="0" applyProtection="0"/>
    <xf numFmtId="165" fontId="12" fillId="0" borderId="0" applyFont="0" applyFill="0" applyBorder="0" applyAlignment="0" applyProtection="0"/>
    <xf numFmtId="188" fontId="12" fillId="0" borderId="0" applyFont="0" applyFill="0" applyBorder="0" applyAlignment="0" applyProtection="0"/>
    <xf numFmtId="165" fontId="12" fillId="0" borderId="0" applyFont="0" applyFill="0" applyBorder="0" applyAlignment="0" applyProtection="0"/>
    <xf numFmtId="230" fontId="12" fillId="0" borderId="0" applyFont="0" applyFill="0" applyBorder="0" applyAlignment="0" applyProtection="0"/>
    <xf numFmtId="188" fontId="12" fillId="0" borderId="0" applyFont="0" applyFill="0" applyBorder="0" applyAlignment="0" applyProtection="0"/>
    <xf numFmtId="188" fontId="12" fillId="0" borderId="0" applyFont="0" applyFill="0" applyBorder="0" applyAlignment="0" applyProtection="0"/>
    <xf numFmtId="188" fontId="12" fillId="0" borderId="0" applyFont="0" applyFill="0" applyBorder="0" applyAlignment="0" applyProtection="0"/>
    <xf numFmtId="218" fontId="12" fillId="0" borderId="0" applyFont="0" applyFill="0" applyBorder="0" applyAlignment="0" applyProtection="0"/>
    <xf numFmtId="218" fontId="12" fillId="0" borderId="0" applyFont="0" applyFill="0" applyBorder="0" applyAlignment="0" applyProtection="0"/>
    <xf numFmtId="230" fontId="12" fillId="0" borderId="0" applyFont="0" applyFill="0" applyBorder="0" applyAlignment="0" applyProtection="0"/>
    <xf numFmtId="233" fontId="12" fillId="0" borderId="0" applyFont="0" applyFill="0" applyBorder="0" applyAlignment="0" applyProtection="0"/>
    <xf numFmtId="165" fontId="12" fillId="0" borderId="0" applyFont="0" applyFill="0" applyBorder="0" applyAlignment="0" applyProtection="0"/>
    <xf numFmtId="234" fontId="4" fillId="0" borderId="0" applyFont="0" applyFill="0" applyBorder="0" applyAlignment="0" applyProtection="0"/>
    <xf numFmtId="188" fontId="12" fillId="0" borderId="0" applyFont="0" applyFill="0" applyBorder="0" applyAlignment="0" applyProtection="0"/>
    <xf numFmtId="230" fontId="12" fillId="0" borderId="0" applyFont="0" applyFill="0" applyBorder="0" applyAlignment="0" applyProtection="0"/>
    <xf numFmtId="188" fontId="12" fillId="0" borderId="0" applyFont="0" applyFill="0" applyBorder="0" applyAlignment="0" applyProtection="0"/>
    <xf numFmtId="188" fontId="12" fillId="0" borderId="0" applyFont="0" applyFill="0" applyBorder="0" applyAlignment="0" applyProtection="0"/>
    <xf numFmtId="188" fontId="12" fillId="0" borderId="0" applyFont="0" applyFill="0" applyBorder="0" applyAlignment="0" applyProtection="0"/>
    <xf numFmtId="230" fontId="12" fillId="0" borderId="0" applyFont="0" applyFill="0" applyBorder="0" applyAlignment="0" applyProtection="0"/>
    <xf numFmtId="188" fontId="12" fillId="0" borderId="0" applyFont="0" applyFill="0" applyBorder="0" applyAlignment="0" applyProtection="0"/>
    <xf numFmtId="230" fontId="12" fillId="0" borderId="0" applyFont="0" applyFill="0" applyBorder="0" applyAlignment="0" applyProtection="0"/>
    <xf numFmtId="171" fontId="100" fillId="0" borderId="0" applyFont="0" applyFill="0" applyBorder="0" applyAlignment="0" applyProtection="0"/>
    <xf numFmtId="235" fontId="12" fillId="0" borderId="0" applyFont="0" applyFill="0" applyBorder="0" applyAlignment="0" applyProtection="0"/>
    <xf numFmtId="235" fontId="12" fillId="0" borderId="0" applyFont="0" applyFill="0" applyBorder="0" applyAlignment="0" applyProtection="0"/>
    <xf numFmtId="236" fontId="7" fillId="0" borderId="0" applyFont="0" applyFill="0" applyBorder="0" applyAlignment="0" applyProtection="0"/>
    <xf numFmtId="236" fontId="7" fillId="0" borderId="0" applyFont="0" applyFill="0" applyBorder="0" applyAlignment="0" applyProtection="0"/>
    <xf numFmtId="172" fontId="100" fillId="0" borderId="0" applyFont="0" applyFill="0" applyBorder="0" applyAlignment="0" applyProtection="0"/>
    <xf numFmtId="235" fontId="12" fillId="0" borderId="0" applyFont="0" applyFill="0" applyBorder="0" applyAlignment="0" applyProtection="0"/>
    <xf numFmtId="171" fontId="100" fillId="0" borderId="0" applyFont="0" applyFill="0" applyBorder="0" applyAlignment="0" applyProtection="0"/>
    <xf numFmtId="211" fontId="45" fillId="0" borderId="0" applyFont="0" applyFill="0" applyBorder="0" applyAlignment="0" applyProtection="0"/>
    <xf numFmtId="233" fontId="12" fillId="0" borderId="0" applyFont="0" applyFill="0" applyBorder="0" applyAlignment="0" applyProtection="0"/>
    <xf numFmtId="188" fontId="12" fillId="0" borderId="0" applyFont="0" applyFill="0" applyBorder="0" applyAlignment="0" applyProtection="0"/>
    <xf numFmtId="172" fontId="12" fillId="0" borderId="0" applyFont="0" applyFill="0" applyBorder="0" applyAlignment="0" applyProtection="0"/>
    <xf numFmtId="172" fontId="12" fillId="0" borderId="0" applyFont="0" applyFill="0" applyBorder="0" applyAlignment="0" applyProtection="0"/>
    <xf numFmtId="188" fontId="12" fillId="0" borderId="0" applyFont="0" applyFill="0" applyBorder="0" applyAlignment="0" applyProtection="0"/>
    <xf numFmtId="188" fontId="12" fillId="0" borderId="0" applyFont="0" applyFill="0" applyBorder="0" applyAlignment="0" applyProtection="0"/>
    <xf numFmtId="165" fontId="12" fillId="0" borderId="0" applyFont="0" applyFill="0" applyBorder="0" applyAlignment="0" applyProtection="0"/>
    <xf numFmtId="188" fontId="12" fillId="0" borderId="0" applyFont="0" applyFill="0" applyBorder="0" applyAlignment="0" applyProtection="0"/>
    <xf numFmtId="171" fontId="4" fillId="0" borderId="0" applyFont="0" applyFill="0" applyBorder="0" applyAlignment="0" applyProtection="0"/>
    <xf numFmtId="168" fontId="4" fillId="0" borderId="0" applyFont="0" applyFill="0" applyBorder="0" applyAlignment="0" applyProtection="0"/>
    <xf numFmtId="216" fontId="4" fillId="0" borderId="0" applyFont="0" applyFill="0" applyBorder="0" applyAlignment="0" applyProtection="0"/>
    <xf numFmtId="216" fontId="4" fillId="0" borderId="0" applyFont="0" applyFill="0" applyBorder="0" applyAlignment="0" applyProtection="0"/>
    <xf numFmtId="184" fontId="100" fillId="0" borderId="0" applyFont="0" applyFill="0" applyBorder="0" applyAlignment="0" applyProtection="0"/>
    <xf numFmtId="227" fontId="4" fillId="0" borderId="0" applyFont="0" applyFill="0" applyBorder="0" applyAlignment="0" applyProtection="0"/>
    <xf numFmtId="227" fontId="4" fillId="0" borderId="0" applyFont="0" applyFill="0" applyBorder="0" applyAlignment="0" applyProtection="0"/>
    <xf numFmtId="228" fontId="7" fillId="0" borderId="0" applyFont="0" applyFill="0" applyBorder="0" applyAlignment="0" applyProtection="0"/>
    <xf numFmtId="228" fontId="7" fillId="0" borderId="0" applyFont="0" applyFill="0" applyBorder="0" applyAlignment="0" applyProtection="0"/>
    <xf numFmtId="228" fontId="100" fillId="0" borderId="0" applyFont="0" applyFill="0" applyBorder="0" applyAlignment="0" applyProtection="0"/>
    <xf numFmtId="227" fontId="4" fillId="0" borderId="0" applyFont="0" applyFill="0" applyBorder="0" applyAlignment="0" applyProtection="0"/>
    <xf numFmtId="184" fontId="100" fillId="0" borderId="0" applyFont="0" applyFill="0" applyBorder="0" applyAlignment="0" applyProtection="0"/>
    <xf numFmtId="168" fontId="4" fillId="0" borderId="0" applyFont="0" applyFill="0" applyBorder="0" applyAlignment="0" applyProtection="0"/>
    <xf numFmtId="216" fontId="4" fillId="0" borderId="0" applyFont="0" applyFill="0" applyBorder="0" applyAlignment="0" applyProtection="0"/>
    <xf numFmtId="172" fontId="4" fillId="0" borderId="0" applyFont="0" applyFill="0" applyBorder="0" applyAlignment="0" applyProtection="0"/>
    <xf numFmtId="229" fontId="4" fillId="0" borderId="0" applyFont="0" applyFill="0" applyBorder="0" applyAlignment="0" applyProtection="0"/>
    <xf numFmtId="229" fontId="4" fillId="0" borderId="0" applyFont="0" applyFill="0" applyBorder="0" applyAlignment="0" applyProtection="0"/>
    <xf numFmtId="0" fontId="15" fillId="0" borderId="0"/>
    <xf numFmtId="0" fontId="13" fillId="0" borderId="0"/>
    <xf numFmtId="216" fontId="12" fillId="0" borderId="0" applyFont="0" applyFill="0" applyBorder="0" applyAlignment="0" applyProtection="0"/>
    <xf numFmtId="216" fontId="12" fillId="0" borderId="0" applyFont="0" applyFill="0" applyBorder="0" applyAlignment="0" applyProtection="0"/>
    <xf numFmtId="224" fontId="12" fillId="0" borderId="0" applyFont="0" applyFill="0" applyBorder="0" applyAlignment="0" applyProtection="0"/>
    <xf numFmtId="216" fontId="99" fillId="0" borderId="0" applyFon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237" fontId="12" fillId="0" borderId="0" applyFont="0" applyFill="0" applyBorder="0" applyAlignment="0" applyProtection="0"/>
    <xf numFmtId="208" fontId="4" fillId="0" borderId="0" applyFont="0" applyFill="0" applyBorder="0" applyAlignment="0" applyProtection="0"/>
    <xf numFmtId="238" fontId="100" fillId="0" borderId="0" applyFont="0" applyFill="0" applyBorder="0" applyAlignment="0" applyProtection="0"/>
    <xf numFmtId="239" fontId="12" fillId="0" borderId="0" applyFont="0" applyFill="0" applyBorder="0" applyAlignment="0" applyProtection="0"/>
    <xf numFmtId="239" fontId="12" fillId="0" borderId="0" applyFont="0" applyFill="0" applyBorder="0" applyAlignment="0" applyProtection="0"/>
    <xf numFmtId="240" fontId="100" fillId="0" borderId="0" applyFont="0" applyFill="0" applyBorder="0" applyAlignment="0" applyProtection="0"/>
    <xf numFmtId="239" fontId="12" fillId="0" borderId="0" applyFont="0" applyFill="0" applyBorder="0" applyAlignment="0" applyProtection="0"/>
    <xf numFmtId="238" fontId="100" fillId="0" borderId="0" applyFont="0" applyFill="0" applyBorder="0" applyAlignment="0" applyProtection="0"/>
    <xf numFmtId="239" fontId="12" fillId="0" borderId="0" applyFont="0" applyFill="0" applyBorder="0" applyAlignment="0" applyProtection="0"/>
    <xf numFmtId="208" fontId="12" fillId="0" borderId="0" applyFont="0" applyFill="0" applyBorder="0" applyAlignment="0" applyProtection="0"/>
    <xf numFmtId="208" fontId="12" fillId="0" borderId="0" applyFont="0" applyFill="0" applyBorder="0" applyAlignment="0" applyProtection="0"/>
    <xf numFmtId="0" fontId="16" fillId="0" borderId="0"/>
    <xf numFmtId="216" fontId="12" fillId="0" borderId="0" applyFont="0" applyFill="0" applyBorder="0" applyAlignment="0" applyProtection="0"/>
    <xf numFmtId="216" fontId="12" fillId="0" borderId="0" applyFont="0" applyFill="0" applyBorder="0" applyAlignment="0" applyProtection="0"/>
    <xf numFmtId="0" fontId="15" fillId="0" borderId="0"/>
    <xf numFmtId="240" fontId="100" fillId="0" borderId="0" applyFont="0" applyFill="0" applyBorder="0" applyAlignment="0" applyProtection="0"/>
    <xf numFmtId="241" fontId="12" fillId="0" borderId="0" applyFont="0" applyFill="0" applyBorder="0" applyAlignment="0" applyProtection="0"/>
    <xf numFmtId="241" fontId="12" fillId="0" borderId="0" applyFont="0" applyFill="0" applyBorder="0" applyAlignment="0" applyProtection="0"/>
    <xf numFmtId="242" fontId="7" fillId="0" borderId="0" applyFont="0" applyFill="0" applyBorder="0" applyAlignment="0" applyProtection="0"/>
    <xf numFmtId="242" fontId="7" fillId="0" borderId="0" applyFont="0" applyFill="0" applyBorder="0" applyAlignment="0" applyProtection="0"/>
    <xf numFmtId="171" fontId="100" fillId="0" borderId="0" applyFont="0" applyFill="0" applyBorder="0" applyAlignment="0" applyProtection="0"/>
    <xf numFmtId="241" fontId="12" fillId="0" borderId="0" applyFont="0" applyFill="0" applyBorder="0" applyAlignment="0" applyProtection="0"/>
    <xf numFmtId="240" fontId="100" fillId="0" borderId="0" applyFont="0" applyFill="0" applyBorder="0" applyAlignment="0" applyProtection="0"/>
    <xf numFmtId="243" fontId="45" fillId="0" borderId="0" applyFont="0" applyFill="0" applyBorder="0" applyAlignment="0" applyProtection="0"/>
    <xf numFmtId="244" fontId="12" fillId="0" borderId="0" applyFont="0" applyFill="0" applyBorder="0" applyAlignment="0" applyProtection="0"/>
    <xf numFmtId="216" fontId="12" fillId="0" borderId="0" applyFont="0" applyFill="0" applyBorder="0" applyAlignment="0" applyProtection="0"/>
    <xf numFmtId="216" fontId="12" fillId="0" borderId="0" applyFont="0" applyFill="0" applyBorder="0" applyAlignment="0" applyProtection="0"/>
    <xf numFmtId="171" fontId="4" fillId="0" borderId="0" applyFont="0" applyFill="0" applyBorder="0" applyAlignment="0" applyProtection="0"/>
    <xf numFmtId="174" fontId="12" fillId="0" borderId="0" applyFont="0" applyFill="0" applyBorder="0" applyAlignment="0" applyProtection="0"/>
    <xf numFmtId="164" fontId="12" fillId="0" borderId="0" applyFont="0" applyFill="0" applyBorder="0" applyAlignment="0" applyProtection="0"/>
    <xf numFmtId="177" fontId="12" fillId="0" borderId="0" applyFont="0" applyFill="0" applyBorder="0" applyAlignment="0" applyProtection="0"/>
    <xf numFmtId="245" fontId="12" fillId="0" borderId="0" applyFont="0" applyFill="0" applyBorder="0" applyAlignment="0" applyProtection="0"/>
    <xf numFmtId="174" fontId="12" fillId="0" borderId="0" applyFont="0" applyFill="0" applyBorder="0" applyAlignment="0" applyProtection="0"/>
    <xf numFmtId="245"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74" fontId="12" fillId="0" borderId="0" applyFont="0" applyFill="0" applyBorder="0" applyAlignment="0" applyProtection="0"/>
    <xf numFmtId="177" fontId="12" fillId="0" borderId="0" applyFont="0" applyFill="0" applyBorder="0" applyAlignment="0" applyProtection="0"/>
    <xf numFmtId="246" fontId="12" fillId="0" borderId="0" applyFont="0" applyFill="0" applyBorder="0" applyAlignment="0" applyProtection="0"/>
    <xf numFmtId="174" fontId="4" fillId="0" borderId="0" applyFont="0" applyFill="0" applyBorder="0" applyAlignment="0" applyProtection="0"/>
    <xf numFmtId="164" fontId="12" fillId="0" borderId="0" applyFont="0" applyFill="0" applyBorder="0" applyAlignment="0" applyProtection="0"/>
    <xf numFmtId="174" fontId="4" fillId="0" borderId="0" applyFont="0" applyFill="0" applyBorder="0" applyAlignment="0" applyProtection="0"/>
    <xf numFmtId="245" fontId="12" fillId="0" borderId="0" applyFont="0" applyFill="0" applyBorder="0" applyAlignment="0" applyProtection="0"/>
    <xf numFmtId="245" fontId="12" fillId="0" borderId="0" applyFont="0" applyFill="0" applyBorder="0" applyAlignment="0" applyProtection="0"/>
    <xf numFmtId="177" fontId="12" fillId="0" borderId="0" applyFont="0" applyFill="0" applyBorder="0" applyAlignment="0" applyProtection="0"/>
    <xf numFmtId="247" fontId="12" fillId="0" borderId="0" applyFont="0" applyFill="0" applyBorder="0" applyAlignment="0" applyProtection="0"/>
    <xf numFmtId="245" fontId="12" fillId="0" borderId="0" applyFont="0" applyFill="0" applyBorder="0" applyAlignment="0" applyProtection="0"/>
    <xf numFmtId="248" fontId="12" fillId="0" borderId="0" applyFont="0" applyFill="0" applyBorder="0" applyAlignment="0" applyProtection="0"/>
    <xf numFmtId="249" fontId="12" fillId="0" borderId="0" applyFont="0" applyFill="0" applyBorder="0" applyAlignment="0" applyProtection="0"/>
    <xf numFmtId="248" fontId="12" fillId="0" borderId="0" applyFont="0" applyFill="0" applyBorder="0" applyAlignment="0" applyProtection="0"/>
    <xf numFmtId="177"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64" fontId="12" fillId="0" borderId="0" applyFont="0" applyFill="0" applyBorder="0" applyAlignment="0" applyProtection="0"/>
    <xf numFmtId="245" fontId="12" fillId="0" borderId="0" applyFont="0" applyFill="0" applyBorder="0" applyAlignment="0" applyProtection="0"/>
    <xf numFmtId="164" fontId="12" fillId="0" borderId="0" applyFont="0" applyFill="0" applyBorder="0" applyAlignment="0" applyProtection="0"/>
    <xf numFmtId="174" fontId="12" fillId="0" borderId="0" applyFont="0" applyFill="0" applyBorder="0" applyAlignment="0" applyProtection="0"/>
    <xf numFmtId="245" fontId="12" fillId="0" borderId="0" applyFont="0" applyFill="0" applyBorder="0" applyAlignment="0" applyProtection="0"/>
    <xf numFmtId="245" fontId="12" fillId="0" borderId="0" applyFont="0" applyFill="0" applyBorder="0" applyAlignment="0" applyProtection="0"/>
    <xf numFmtId="245" fontId="12" fillId="0" borderId="0" applyFont="0" applyFill="0" applyBorder="0" applyAlignment="0" applyProtection="0"/>
    <xf numFmtId="247" fontId="12" fillId="0" borderId="0" applyFont="0" applyFill="0" applyBorder="0" applyAlignment="0" applyProtection="0"/>
    <xf numFmtId="247" fontId="12" fillId="0" borderId="0" applyFont="0" applyFill="0" applyBorder="0" applyAlignment="0" applyProtection="0"/>
    <xf numFmtId="174" fontId="12" fillId="0" borderId="0" applyFont="0" applyFill="0" applyBorder="0" applyAlignment="0" applyProtection="0"/>
    <xf numFmtId="250" fontId="12" fillId="0" borderId="0" applyFont="0" applyFill="0" applyBorder="0" applyAlignment="0" applyProtection="0"/>
    <xf numFmtId="164" fontId="12" fillId="0" borderId="0" applyFont="0" applyFill="0" applyBorder="0" applyAlignment="0" applyProtection="0"/>
    <xf numFmtId="251" fontId="4" fillId="0" borderId="0" applyFont="0" applyFill="0" applyBorder="0" applyAlignment="0" applyProtection="0"/>
    <xf numFmtId="245" fontId="12" fillId="0" borderId="0" applyFont="0" applyFill="0" applyBorder="0" applyAlignment="0" applyProtection="0"/>
    <xf numFmtId="174" fontId="12" fillId="0" borderId="0" applyFont="0" applyFill="0" applyBorder="0" applyAlignment="0" applyProtection="0"/>
    <xf numFmtId="245" fontId="12" fillId="0" borderId="0" applyFont="0" applyFill="0" applyBorder="0" applyAlignment="0" applyProtection="0"/>
    <xf numFmtId="245" fontId="12" fillId="0" borderId="0" applyFont="0" applyFill="0" applyBorder="0" applyAlignment="0" applyProtection="0"/>
    <xf numFmtId="245" fontId="12" fillId="0" borderId="0" applyFont="0" applyFill="0" applyBorder="0" applyAlignment="0" applyProtection="0"/>
    <xf numFmtId="174" fontId="12" fillId="0" borderId="0" applyFont="0" applyFill="0" applyBorder="0" applyAlignment="0" applyProtection="0"/>
    <xf numFmtId="245" fontId="12" fillId="0" borderId="0" applyFont="0" applyFill="0" applyBorder="0" applyAlignment="0" applyProtection="0"/>
    <xf numFmtId="174" fontId="12" fillId="0" borderId="0" applyFont="0" applyFill="0" applyBorder="0" applyAlignment="0" applyProtection="0"/>
    <xf numFmtId="216" fontId="100" fillId="0" borderId="0" applyFont="0" applyFill="0" applyBorder="0" applyAlignment="0" applyProtection="0"/>
    <xf numFmtId="252" fontId="12" fillId="0" borderId="0" applyFont="0" applyFill="0" applyBorder="0" applyAlignment="0" applyProtection="0"/>
    <xf numFmtId="252" fontId="12" fillId="0" borderId="0" applyFont="0" applyFill="0" applyBorder="0" applyAlignment="0" applyProtection="0"/>
    <xf numFmtId="253" fontId="7" fillId="0" borderId="0" applyFont="0" applyFill="0" applyBorder="0" applyAlignment="0" applyProtection="0"/>
    <xf numFmtId="253" fontId="7" fillId="0" borderId="0" applyFont="0" applyFill="0" applyBorder="0" applyAlignment="0" applyProtection="0"/>
    <xf numFmtId="184" fontId="100" fillId="0" borderId="0" applyFont="0" applyFill="0" applyBorder="0" applyAlignment="0" applyProtection="0"/>
    <xf numFmtId="252" fontId="12" fillId="0" borderId="0" applyFont="0" applyFill="0" applyBorder="0" applyAlignment="0" applyProtection="0"/>
    <xf numFmtId="216" fontId="100" fillId="0" borderId="0" applyFont="0" applyFill="0" applyBorder="0" applyAlignment="0" applyProtection="0"/>
    <xf numFmtId="254" fontId="45" fillId="0" borderId="0" applyFont="0" applyFill="0" applyBorder="0" applyAlignment="0" applyProtection="0"/>
    <xf numFmtId="245"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245" fontId="12" fillId="0" borderId="0" applyFont="0" applyFill="0" applyBorder="0" applyAlignment="0" applyProtection="0"/>
    <xf numFmtId="245" fontId="12" fillId="0" borderId="0" applyFont="0" applyFill="0" applyBorder="0" applyAlignment="0" applyProtection="0"/>
    <xf numFmtId="164" fontId="12" fillId="0" borderId="0" applyFont="0" applyFill="0" applyBorder="0" applyAlignment="0" applyProtection="0"/>
    <xf numFmtId="245" fontId="12" fillId="0" borderId="0" applyFont="0" applyFill="0" applyBorder="0" applyAlignment="0" applyProtection="0"/>
    <xf numFmtId="0" fontId="12" fillId="0" borderId="0" applyFont="0" applyFill="0" applyBorder="0" applyAlignment="0" applyProtection="0"/>
    <xf numFmtId="165" fontId="12" fillId="0" borderId="0" applyFont="0" applyFill="0" applyBorder="0" applyAlignment="0" applyProtection="0"/>
    <xf numFmtId="178" fontId="12" fillId="0" borderId="0" applyFont="0" applyFill="0" applyBorder="0" applyAlignment="0" applyProtection="0"/>
    <xf numFmtId="188" fontId="12" fillId="0" borderId="0" applyFont="0" applyFill="0" applyBorder="0" applyAlignment="0" applyProtection="0"/>
    <xf numFmtId="230" fontId="12" fillId="0" borderId="0" applyFont="0" applyFill="0" applyBorder="0" applyAlignment="0" applyProtection="0"/>
    <xf numFmtId="188"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230" fontId="12" fillId="0" borderId="0" applyFont="0" applyFill="0" applyBorder="0" applyAlignment="0" applyProtection="0"/>
    <xf numFmtId="178" fontId="12" fillId="0" borderId="0" applyFont="0" applyFill="0" applyBorder="0" applyAlignment="0" applyProtection="0"/>
    <xf numFmtId="231" fontId="12" fillId="0" borderId="0" applyFont="0" applyFill="0" applyBorder="0" applyAlignment="0" applyProtection="0"/>
    <xf numFmtId="0" fontId="12" fillId="0" borderId="0" applyFont="0" applyFill="0" applyBorder="0" applyAlignment="0" applyProtection="0"/>
    <xf numFmtId="165" fontId="12" fillId="0" borderId="0" applyFont="0" applyFill="0" applyBorder="0" applyAlignment="0" applyProtection="0"/>
    <xf numFmtId="0" fontId="12" fillId="0" borderId="0" applyFont="0" applyFill="0" applyBorder="0" applyAlignment="0" applyProtection="0"/>
    <xf numFmtId="188" fontId="12" fillId="0" borderId="0" applyFont="0" applyFill="0" applyBorder="0" applyAlignment="0" applyProtection="0"/>
    <xf numFmtId="188" fontId="12" fillId="0" borderId="0" applyFont="0" applyFill="0" applyBorder="0" applyAlignment="0" applyProtection="0"/>
    <xf numFmtId="178" fontId="12" fillId="0" borderId="0" applyFont="0" applyFill="0" applyBorder="0" applyAlignment="0" applyProtection="0"/>
    <xf numFmtId="218" fontId="12" fillId="0" borderId="0" applyFont="0" applyFill="0" applyBorder="0" applyAlignment="0" applyProtection="0"/>
    <xf numFmtId="188" fontId="12" fillId="0" borderId="0" applyFont="0" applyFill="0" applyBorder="0" applyAlignment="0" applyProtection="0"/>
    <xf numFmtId="232" fontId="12" fillId="0" borderId="0" applyFont="0" applyFill="0" applyBorder="0" applyAlignment="0" applyProtection="0"/>
    <xf numFmtId="232" fontId="12" fillId="0" borderId="0" applyFont="0" applyFill="0" applyBorder="0" applyAlignment="0" applyProtection="0"/>
    <xf numFmtId="178" fontId="12" fillId="0" borderId="0" applyFont="0" applyFill="0" applyBorder="0" applyAlignment="0" applyProtection="0"/>
    <xf numFmtId="230" fontId="12" fillId="0" borderId="0" applyFont="0" applyFill="0" applyBorder="0" applyAlignment="0" applyProtection="0"/>
    <xf numFmtId="230" fontId="12" fillId="0" borderId="0" applyFont="0" applyFill="0" applyBorder="0" applyAlignment="0" applyProtection="0"/>
    <xf numFmtId="165" fontId="12" fillId="0" borderId="0" applyFont="0" applyFill="0" applyBorder="0" applyAlignment="0" applyProtection="0"/>
    <xf numFmtId="188" fontId="12" fillId="0" borderId="0" applyFont="0" applyFill="0" applyBorder="0" applyAlignment="0" applyProtection="0"/>
    <xf numFmtId="165" fontId="12" fillId="0" borderId="0" applyFont="0" applyFill="0" applyBorder="0" applyAlignment="0" applyProtection="0"/>
    <xf numFmtId="230" fontId="12" fillId="0" borderId="0" applyFont="0" applyFill="0" applyBorder="0" applyAlignment="0" applyProtection="0"/>
    <xf numFmtId="188" fontId="12" fillId="0" borderId="0" applyFont="0" applyFill="0" applyBorder="0" applyAlignment="0" applyProtection="0"/>
    <xf numFmtId="188" fontId="12" fillId="0" borderId="0" applyFont="0" applyFill="0" applyBorder="0" applyAlignment="0" applyProtection="0"/>
    <xf numFmtId="188" fontId="12" fillId="0" borderId="0" applyFont="0" applyFill="0" applyBorder="0" applyAlignment="0" applyProtection="0"/>
    <xf numFmtId="218" fontId="12" fillId="0" borderId="0" applyFont="0" applyFill="0" applyBorder="0" applyAlignment="0" applyProtection="0"/>
    <xf numFmtId="218" fontId="12" fillId="0" borderId="0" applyFont="0" applyFill="0" applyBorder="0" applyAlignment="0" applyProtection="0"/>
    <xf numFmtId="230" fontId="12" fillId="0" borderId="0" applyFont="0" applyFill="0" applyBorder="0" applyAlignment="0" applyProtection="0"/>
    <xf numFmtId="233" fontId="12" fillId="0" borderId="0" applyFont="0" applyFill="0" applyBorder="0" applyAlignment="0" applyProtection="0"/>
    <xf numFmtId="165" fontId="12" fillId="0" borderId="0" applyFont="0" applyFill="0" applyBorder="0" applyAlignment="0" applyProtection="0"/>
    <xf numFmtId="234" fontId="4" fillId="0" borderId="0" applyFont="0" applyFill="0" applyBorder="0" applyAlignment="0" applyProtection="0"/>
    <xf numFmtId="188" fontId="12" fillId="0" borderId="0" applyFont="0" applyFill="0" applyBorder="0" applyAlignment="0" applyProtection="0"/>
    <xf numFmtId="230" fontId="12" fillId="0" borderId="0" applyFont="0" applyFill="0" applyBorder="0" applyAlignment="0" applyProtection="0"/>
    <xf numFmtId="188" fontId="12" fillId="0" borderId="0" applyFont="0" applyFill="0" applyBorder="0" applyAlignment="0" applyProtection="0"/>
    <xf numFmtId="188" fontId="12" fillId="0" borderId="0" applyFont="0" applyFill="0" applyBorder="0" applyAlignment="0" applyProtection="0"/>
    <xf numFmtId="188" fontId="12" fillId="0" borderId="0" applyFont="0" applyFill="0" applyBorder="0" applyAlignment="0" applyProtection="0"/>
    <xf numFmtId="230" fontId="12" fillId="0" borderId="0" applyFont="0" applyFill="0" applyBorder="0" applyAlignment="0" applyProtection="0"/>
    <xf numFmtId="188" fontId="12" fillId="0" borderId="0" applyFont="0" applyFill="0" applyBorder="0" applyAlignment="0" applyProtection="0"/>
    <xf numFmtId="230" fontId="12" fillId="0" borderId="0" applyFont="0" applyFill="0" applyBorder="0" applyAlignment="0" applyProtection="0"/>
    <xf numFmtId="171" fontId="100" fillId="0" borderId="0" applyFont="0" applyFill="0" applyBorder="0" applyAlignment="0" applyProtection="0"/>
    <xf numFmtId="235" fontId="12" fillId="0" borderId="0" applyFont="0" applyFill="0" applyBorder="0" applyAlignment="0" applyProtection="0"/>
    <xf numFmtId="235" fontId="12" fillId="0" borderId="0" applyFont="0" applyFill="0" applyBorder="0" applyAlignment="0" applyProtection="0"/>
    <xf numFmtId="236" fontId="7" fillId="0" borderId="0" applyFont="0" applyFill="0" applyBorder="0" applyAlignment="0" applyProtection="0"/>
    <xf numFmtId="236" fontId="7" fillId="0" borderId="0" applyFont="0" applyFill="0" applyBorder="0" applyAlignment="0" applyProtection="0"/>
    <xf numFmtId="172" fontId="100" fillId="0" borderId="0" applyFont="0" applyFill="0" applyBorder="0" applyAlignment="0" applyProtection="0"/>
    <xf numFmtId="235" fontId="12" fillId="0" borderId="0" applyFont="0" applyFill="0" applyBorder="0" applyAlignment="0" applyProtection="0"/>
    <xf numFmtId="171" fontId="100" fillId="0" borderId="0" applyFont="0" applyFill="0" applyBorder="0" applyAlignment="0" applyProtection="0"/>
    <xf numFmtId="211" fontId="45" fillId="0" borderId="0" applyFont="0" applyFill="0" applyBorder="0" applyAlignment="0" applyProtection="0"/>
    <xf numFmtId="233" fontId="12" fillId="0" borderId="0" applyFont="0" applyFill="0" applyBorder="0" applyAlignment="0" applyProtection="0"/>
    <xf numFmtId="188" fontId="12" fillId="0" borderId="0" applyFont="0" applyFill="0" applyBorder="0" applyAlignment="0" applyProtection="0"/>
    <xf numFmtId="172" fontId="12" fillId="0" borderId="0" applyFont="0" applyFill="0" applyBorder="0" applyAlignment="0" applyProtection="0"/>
    <xf numFmtId="172" fontId="12" fillId="0" borderId="0" applyFont="0" applyFill="0" applyBorder="0" applyAlignment="0" applyProtection="0"/>
    <xf numFmtId="188" fontId="12" fillId="0" borderId="0" applyFont="0" applyFill="0" applyBorder="0" applyAlignment="0" applyProtection="0"/>
    <xf numFmtId="188" fontId="12" fillId="0" borderId="0" applyFont="0" applyFill="0" applyBorder="0" applyAlignment="0" applyProtection="0"/>
    <xf numFmtId="165" fontId="12" fillId="0" borderId="0" applyFont="0" applyFill="0" applyBorder="0" applyAlignment="0" applyProtection="0"/>
    <xf numFmtId="188" fontId="12" fillId="0" borderId="0" applyFont="0" applyFill="0" applyBorder="0" applyAlignment="0" applyProtection="0"/>
    <xf numFmtId="168" fontId="4" fillId="0" borderId="0" applyFont="0" applyFill="0" applyBorder="0" applyAlignment="0" applyProtection="0"/>
    <xf numFmtId="216" fontId="4" fillId="0" borderId="0" applyFont="0" applyFill="0" applyBorder="0" applyAlignment="0" applyProtection="0"/>
    <xf numFmtId="216" fontId="4" fillId="0" borderId="0" applyFont="0" applyFill="0" applyBorder="0" applyAlignment="0" applyProtection="0"/>
    <xf numFmtId="184" fontId="100" fillId="0" borderId="0" applyFont="0" applyFill="0" applyBorder="0" applyAlignment="0" applyProtection="0"/>
    <xf numFmtId="227" fontId="4" fillId="0" borderId="0" applyFont="0" applyFill="0" applyBorder="0" applyAlignment="0" applyProtection="0"/>
    <xf numFmtId="227" fontId="4" fillId="0" borderId="0" applyFont="0" applyFill="0" applyBorder="0" applyAlignment="0" applyProtection="0"/>
    <xf numFmtId="228" fontId="7" fillId="0" borderId="0" applyFont="0" applyFill="0" applyBorder="0" applyAlignment="0" applyProtection="0"/>
    <xf numFmtId="228" fontId="7" fillId="0" borderId="0" applyFont="0" applyFill="0" applyBorder="0" applyAlignment="0" applyProtection="0"/>
    <xf numFmtId="228" fontId="100" fillId="0" borderId="0" applyFont="0" applyFill="0" applyBorder="0" applyAlignment="0" applyProtection="0"/>
    <xf numFmtId="227" fontId="4" fillId="0" borderId="0" applyFont="0" applyFill="0" applyBorder="0" applyAlignment="0" applyProtection="0"/>
    <xf numFmtId="184" fontId="100" fillId="0" borderId="0" applyFont="0" applyFill="0" applyBorder="0" applyAlignment="0" applyProtection="0"/>
    <xf numFmtId="168" fontId="4" fillId="0" borderId="0" applyFont="0" applyFill="0" applyBorder="0" applyAlignment="0" applyProtection="0"/>
    <xf numFmtId="216"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229" fontId="4" fillId="0" borderId="0" applyFont="0" applyFill="0" applyBorder="0" applyAlignment="0" applyProtection="0"/>
    <xf numFmtId="229" fontId="4" fillId="0" borderId="0" applyFont="0" applyFill="0" applyBorder="0" applyAlignment="0" applyProtection="0"/>
    <xf numFmtId="0" fontId="23" fillId="0" borderId="0" applyNumberFormat="0" applyFill="0" applyBorder="0" applyAlignment="0" applyProtection="0"/>
    <xf numFmtId="216" fontId="12" fillId="0" borderId="0" applyFont="0" applyFill="0" applyBorder="0" applyAlignment="0" applyProtection="0"/>
    <xf numFmtId="216" fontId="12" fillId="0" borderId="0" applyFont="0" applyFill="0" applyBorder="0" applyAlignment="0" applyProtection="0"/>
    <xf numFmtId="0" fontId="15" fillId="0" borderId="0"/>
    <xf numFmtId="216" fontId="12" fillId="0" borderId="0" applyFon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216" fontId="12" fillId="0" borderId="0" applyFont="0" applyFill="0" applyBorder="0" applyAlignment="0" applyProtection="0"/>
    <xf numFmtId="0" fontId="14" fillId="0" borderId="0">
      <alignment vertical="top"/>
    </xf>
    <xf numFmtId="0" fontId="14" fillId="0" borderId="0">
      <alignment vertical="top"/>
    </xf>
    <xf numFmtId="0" fontId="14" fillId="0" borderId="0">
      <alignment vertical="top"/>
    </xf>
    <xf numFmtId="0" fontId="23" fillId="0" borderId="0" applyNumberFormat="0" applyFill="0" applyBorder="0" applyAlignment="0" applyProtection="0"/>
    <xf numFmtId="0" fontId="15" fillId="0" borderId="0"/>
    <xf numFmtId="0" fontId="13" fillId="0" borderId="0"/>
    <xf numFmtId="0" fontId="13" fillId="0" borderId="0"/>
    <xf numFmtId="0" fontId="13" fillId="0" borderId="0"/>
    <xf numFmtId="0" fontId="13" fillId="0" borderId="0"/>
    <xf numFmtId="221" fontId="12" fillId="0" borderId="0" applyFont="0" applyFill="0" applyBorder="0" applyAlignment="0" applyProtection="0"/>
    <xf numFmtId="175" fontId="17" fillId="0" borderId="0" applyFont="0" applyFill="0" applyBorder="0" applyAlignment="0" applyProtection="0"/>
    <xf numFmtId="214" fontId="101" fillId="0" borderId="0" applyFont="0" applyFill="0" applyBorder="0" applyAlignment="0" applyProtection="0"/>
    <xf numFmtId="215" fontId="101" fillId="0" borderId="0" applyFont="0" applyFill="0" applyBorder="0" applyAlignment="0" applyProtection="0"/>
    <xf numFmtId="0" fontId="61" fillId="0" borderId="0"/>
    <xf numFmtId="0" fontId="102" fillId="0" borderId="0"/>
    <xf numFmtId="0" fontId="102" fillId="0" borderId="0"/>
    <xf numFmtId="0" fontId="55" fillId="0" borderId="0"/>
    <xf numFmtId="1" fontId="18" fillId="0" borderId="1" applyBorder="0" applyAlignment="0">
      <alignment horizontal="center"/>
    </xf>
    <xf numFmtId="3" fontId="6" fillId="0" borderId="1"/>
    <xf numFmtId="3" fontId="6" fillId="0" borderId="1"/>
    <xf numFmtId="175" fontId="17" fillId="0" borderId="0" applyFont="0" applyFill="0" applyBorder="0" applyAlignment="0" applyProtection="0"/>
    <xf numFmtId="0" fontId="103" fillId="0" borderId="4" applyFont="0" applyAlignment="0">
      <alignment horizontal="left"/>
    </xf>
    <xf numFmtId="175" fontId="17" fillId="0" borderId="0" applyFont="0" applyFill="0" applyBorder="0" applyAlignment="0" applyProtection="0"/>
    <xf numFmtId="175" fontId="17" fillId="0" borderId="0" applyFont="0" applyFill="0" applyBorder="0" applyAlignment="0" applyProtection="0"/>
    <xf numFmtId="175" fontId="17" fillId="0" borderId="0" applyFont="0" applyFill="0" applyBorder="0" applyAlignment="0" applyProtection="0"/>
    <xf numFmtId="0" fontId="104" fillId="2" borderId="0"/>
    <xf numFmtId="0" fontId="19" fillId="2" borderId="0"/>
    <xf numFmtId="0" fontId="94" fillId="0" borderId="5" applyAlignment="0"/>
    <xf numFmtId="0" fontId="94" fillId="0" borderId="5" applyAlignment="0"/>
    <xf numFmtId="0" fontId="94" fillId="0" borderId="5" applyAlignment="0"/>
    <xf numFmtId="0" fontId="94" fillId="0" borderId="5" applyAlignment="0"/>
    <xf numFmtId="0" fontId="19" fillId="3" borderId="0"/>
    <xf numFmtId="0" fontId="19" fillId="2" borderId="0"/>
    <xf numFmtId="0" fontId="103" fillId="0" borderId="4" applyFont="0" applyAlignment="0">
      <alignment horizontal="left"/>
    </xf>
    <xf numFmtId="0" fontId="94" fillId="0" borderId="5" applyAlignment="0"/>
    <xf numFmtId="0" fontId="94" fillId="0" borderId="5" applyAlignment="0"/>
    <xf numFmtId="0" fontId="94" fillId="0" borderId="5" applyAlignment="0"/>
    <xf numFmtId="0" fontId="94" fillId="0" borderId="5" applyAlignment="0"/>
    <xf numFmtId="0" fontId="94" fillId="0" borderId="5" applyAlignment="0"/>
    <xf numFmtId="0" fontId="94" fillId="0" borderId="5" applyAlignment="0"/>
    <xf numFmtId="0" fontId="19" fillId="2" borderId="0"/>
    <xf numFmtId="0" fontId="19" fillId="2" borderId="0"/>
    <xf numFmtId="0" fontId="19" fillId="2" borderId="0"/>
    <xf numFmtId="0" fontId="19" fillId="2" borderId="0"/>
    <xf numFmtId="0" fontId="103" fillId="0" borderId="4" applyFont="0" applyAlignment="0">
      <alignment horizontal="left"/>
    </xf>
    <xf numFmtId="0" fontId="94" fillId="0" borderId="5" applyAlignment="0"/>
    <xf numFmtId="0" fontId="104" fillId="2" borderId="0"/>
    <xf numFmtId="0" fontId="94" fillId="0" borderId="6" applyFill="0" applyAlignment="0"/>
    <xf numFmtId="0" fontId="19" fillId="3" borderId="0"/>
    <xf numFmtId="0" fontId="94" fillId="0" borderId="6" applyFill="0" applyAlignment="0"/>
    <xf numFmtId="0" fontId="19" fillId="2" borderId="0"/>
    <xf numFmtId="0" fontId="19" fillId="2" borderId="0"/>
    <xf numFmtId="0" fontId="94" fillId="0" borderId="5" applyAlignment="0"/>
    <xf numFmtId="0" fontId="94" fillId="0" borderId="5" applyAlignment="0"/>
    <xf numFmtId="0" fontId="104" fillId="2" borderId="0"/>
    <xf numFmtId="175" fontId="17" fillId="0" borderId="0" applyFont="0" applyFill="0" applyBorder="0" applyAlignment="0" applyProtection="0"/>
    <xf numFmtId="0" fontId="94" fillId="0" borderId="5" applyAlignment="0"/>
    <xf numFmtId="0" fontId="94" fillId="0" borderId="5" applyAlignment="0"/>
    <xf numFmtId="0" fontId="94" fillId="0" borderId="5" applyAlignment="0"/>
    <xf numFmtId="0" fontId="94" fillId="0" borderId="5" applyAlignment="0"/>
    <xf numFmtId="175" fontId="17" fillId="0" borderId="0" applyFont="0" applyFill="0" applyBorder="0" applyAlignment="0" applyProtection="0"/>
    <xf numFmtId="175" fontId="17" fillId="0" borderId="0" applyFont="0" applyFill="0" applyBorder="0" applyAlignment="0" applyProtection="0"/>
    <xf numFmtId="0" fontId="5" fillId="2" borderId="0"/>
    <xf numFmtId="0" fontId="5" fillId="2" borderId="0"/>
    <xf numFmtId="0" fontId="104" fillId="2" borderId="0"/>
    <xf numFmtId="0" fontId="19" fillId="2" borderId="0"/>
    <xf numFmtId="0" fontId="19" fillId="2" borderId="0"/>
    <xf numFmtId="0" fontId="103" fillId="0" borderId="4" applyFont="0" applyAlignment="0">
      <alignment horizontal="left"/>
    </xf>
    <xf numFmtId="0" fontId="104" fillId="2" borderId="0"/>
    <xf numFmtId="0" fontId="103" fillId="0" borderId="4" applyFont="0" applyAlignment="0">
      <alignment horizontal="left"/>
    </xf>
    <xf numFmtId="0" fontId="103" fillId="0" borderId="4" applyFont="0" applyAlignment="0">
      <alignment horizontal="left"/>
    </xf>
    <xf numFmtId="0" fontId="19" fillId="2" borderId="0"/>
    <xf numFmtId="0" fontId="104" fillId="2" borderId="0"/>
    <xf numFmtId="0" fontId="94" fillId="0" borderId="5" applyAlignment="0"/>
    <xf numFmtId="0" fontId="94" fillId="0" borderId="5" applyAlignment="0"/>
    <xf numFmtId="0" fontId="105" fillId="0" borderId="0" applyFont="0" applyFill="0" applyBorder="0" applyAlignment="0">
      <alignment horizontal="left"/>
    </xf>
    <xf numFmtId="0" fontId="19" fillId="2" borderId="0"/>
    <xf numFmtId="0" fontId="19" fillId="2" borderId="0"/>
    <xf numFmtId="0" fontId="5" fillId="0" borderId="6" applyAlignment="0"/>
    <xf numFmtId="0" fontId="5" fillId="0" borderId="6" applyAlignment="0"/>
    <xf numFmtId="0" fontId="5" fillId="0" borderId="6" applyAlignment="0"/>
    <xf numFmtId="0" fontId="5" fillId="0" borderId="6" applyAlignment="0"/>
    <xf numFmtId="0" fontId="5" fillId="0" borderId="6" applyAlignment="0"/>
    <xf numFmtId="0" fontId="5" fillId="0" borderId="6" applyAlignment="0"/>
    <xf numFmtId="0" fontId="103" fillId="0" borderId="4" applyFont="0" applyAlignment="0">
      <alignment horizontal="left"/>
    </xf>
    <xf numFmtId="0" fontId="94" fillId="0" borderId="5" applyAlignment="0"/>
    <xf numFmtId="0" fontId="19" fillId="2" borderId="0"/>
    <xf numFmtId="0" fontId="94" fillId="0" borderId="5" applyAlignment="0"/>
    <xf numFmtId="0" fontId="104" fillId="2" borderId="0"/>
    <xf numFmtId="0" fontId="104" fillId="2" borderId="0"/>
    <xf numFmtId="0" fontId="19" fillId="2" borderId="0"/>
    <xf numFmtId="0" fontId="103" fillId="0" borderId="4" applyFont="0" applyAlignment="0">
      <alignment horizontal="left"/>
    </xf>
    <xf numFmtId="0" fontId="94" fillId="0" borderId="5" applyAlignment="0"/>
    <xf numFmtId="0" fontId="106" fillId="0" borderId="1" applyNumberFormat="0" applyFont="0" applyBorder="0">
      <alignment horizontal="left" indent="2"/>
    </xf>
    <xf numFmtId="0" fontId="105" fillId="0" borderId="0" applyFont="0" applyFill="0" applyBorder="0" applyAlignment="0">
      <alignment horizontal="left"/>
    </xf>
    <xf numFmtId="0" fontId="106" fillId="0" borderId="1" applyNumberFormat="0" applyFont="0" applyBorder="0">
      <alignment horizontal="left" indent="2"/>
    </xf>
    <xf numFmtId="0" fontId="106" fillId="0" borderId="1" applyNumberFormat="0" applyFont="0" applyBorder="0">
      <alignment horizontal="left" indent="2"/>
    </xf>
    <xf numFmtId="0" fontId="19" fillId="2" borderId="0"/>
    <xf numFmtId="0" fontId="19" fillId="2" borderId="0"/>
    <xf numFmtId="0" fontId="107" fillId="0" borderId="0"/>
    <xf numFmtId="0" fontId="108" fillId="4" borderId="7" applyFont="0" applyFill="0" applyAlignment="0">
      <alignment vertical="center" wrapText="1"/>
    </xf>
    <xf numFmtId="9" fontId="109" fillId="0" borderId="0" applyBorder="0" applyAlignment="0" applyProtection="0"/>
    <xf numFmtId="0" fontId="20" fillId="2" borderId="0"/>
    <xf numFmtId="0" fontId="104" fillId="2" borderId="0"/>
    <xf numFmtId="0" fontId="20" fillId="3" borderId="0"/>
    <xf numFmtId="0" fontId="5" fillId="0" borderId="5" applyNumberFormat="0" applyFill="0"/>
    <xf numFmtId="0" fontId="104" fillId="2" borderId="0"/>
    <xf numFmtId="0" fontId="5" fillId="0" borderId="5" applyNumberFormat="0" applyFill="0"/>
    <xf numFmtId="0" fontId="5" fillId="0" borderId="5" applyNumberFormat="0" applyFill="0"/>
    <xf numFmtId="0" fontId="5" fillId="0" borderId="5" applyNumberFormat="0" applyFill="0"/>
    <xf numFmtId="0" fontId="20" fillId="2" borderId="0"/>
    <xf numFmtId="0" fontId="5" fillId="0" borderId="5" applyNumberFormat="0" applyFill="0"/>
    <xf numFmtId="0" fontId="104" fillId="2" borderId="0"/>
    <xf numFmtId="0" fontId="5" fillId="2" borderId="0"/>
    <xf numFmtId="0" fontId="5" fillId="2" borderId="0"/>
    <xf numFmtId="0" fontId="104" fillId="2" borderId="0"/>
    <xf numFmtId="0" fontId="104" fillId="2" borderId="0"/>
    <xf numFmtId="0" fontId="20" fillId="2" borderId="0"/>
    <xf numFmtId="0" fontId="104" fillId="2" borderId="0"/>
    <xf numFmtId="0" fontId="5" fillId="0" borderId="5" applyNumberFormat="0" applyAlignment="0"/>
    <xf numFmtId="0" fontId="5" fillId="0" borderId="5" applyNumberFormat="0" applyAlignment="0"/>
    <xf numFmtId="0" fontId="5" fillId="0" borderId="5" applyNumberFormat="0" applyAlignment="0"/>
    <xf numFmtId="0" fontId="5" fillId="0" borderId="5" applyNumberFormat="0" applyAlignment="0"/>
    <xf numFmtId="0" fontId="5" fillId="0" borderId="5" applyNumberFormat="0" applyAlignment="0"/>
    <xf numFmtId="0" fontId="5" fillId="0" borderId="5" applyNumberFormat="0" applyAlignment="0"/>
    <xf numFmtId="0" fontId="5" fillId="0" borderId="5" applyNumberFormat="0" applyFill="0"/>
    <xf numFmtId="0" fontId="5" fillId="0" borderId="5" applyNumberFormat="0" applyFill="0"/>
    <xf numFmtId="0" fontId="5" fillId="0" borderId="5" applyNumberFormat="0" applyFill="0"/>
    <xf numFmtId="0" fontId="5" fillId="0" borderId="5" applyNumberFormat="0" applyFill="0"/>
    <xf numFmtId="0" fontId="5" fillId="0" borderId="5" applyNumberFormat="0" applyFill="0"/>
    <xf numFmtId="0" fontId="104" fillId="2" borderId="0"/>
    <xf numFmtId="0" fontId="104" fillId="2" borderId="0"/>
    <xf numFmtId="0" fontId="20" fillId="2" borderId="0"/>
    <xf numFmtId="0" fontId="20" fillId="2" borderId="0"/>
    <xf numFmtId="0" fontId="20" fillId="2" borderId="0"/>
    <xf numFmtId="0" fontId="106" fillId="0" borderId="1" applyNumberFormat="0" applyFont="0" applyBorder="0" applyAlignment="0">
      <alignment horizontal="center"/>
    </xf>
    <xf numFmtId="0" fontId="106" fillId="0" borderId="1" applyNumberFormat="0" applyFont="0" applyBorder="0" applyAlignment="0">
      <alignment horizontal="center"/>
    </xf>
    <xf numFmtId="0" fontId="106" fillId="0" borderId="1" applyNumberFormat="0" applyFont="0" applyBorder="0" applyAlignment="0">
      <alignment horizontal="center"/>
    </xf>
    <xf numFmtId="0" fontId="5" fillId="0" borderId="0"/>
    <xf numFmtId="0" fontId="5" fillId="0" borderId="0"/>
    <xf numFmtId="0" fontId="110" fillId="5" borderId="0" applyNumberFormat="0" applyBorder="0" applyAlignment="0" applyProtection="0"/>
    <xf numFmtId="0" fontId="110" fillId="6" borderId="0" applyNumberFormat="0" applyBorder="0" applyAlignment="0" applyProtection="0"/>
    <xf numFmtId="0" fontId="110" fillId="7" borderId="0" applyNumberFormat="0" applyBorder="0" applyAlignment="0" applyProtection="0"/>
    <xf numFmtId="0" fontId="110" fillId="8" borderId="0" applyNumberFormat="0" applyBorder="0" applyAlignment="0" applyProtection="0"/>
    <xf numFmtId="0" fontId="110" fillId="9" borderId="0" applyNumberFormat="0" applyBorder="0" applyAlignment="0" applyProtection="0"/>
    <xf numFmtId="0" fontId="110" fillId="10"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7" fillId="0" borderId="0"/>
    <xf numFmtId="0" fontId="7" fillId="0" borderId="0"/>
    <xf numFmtId="0" fontId="21" fillId="2" borderId="0"/>
    <xf numFmtId="0" fontId="104" fillId="2" borderId="0"/>
    <xf numFmtId="0" fontId="21" fillId="3" borderId="0"/>
    <xf numFmtId="0" fontId="104" fillId="2" borderId="0"/>
    <xf numFmtId="0" fontId="104" fillId="2" borderId="0"/>
    <xf numFmtId="0" fontId="5" fillId="2" borderId="0"/>
    <xf numFmtId="0" fontId="5" fillId="2" borderId="0"/>
    <xf numFmtId="0" fontId="104" fillId="2" borderId="0"/>
    <xf numFmtId="0" fontId="104" fillId="2" borderId="0"/>
    <xf numFmtId="0" fontId="21" fillId="2" borderId="0"/>
    <xf numFmtId="0" fontId="104" fillId="2" borderId="0"/>
    <xf numFmtId="0" fontId="104" fillId="2" borderId="0"/>
    <xf numFmtId="0" fontId="104" fillId="2" borderId="0"/>
    <xf numFmtId="0" fontId="21" fillId="2" borderId="0"/>
    <xf numFmtId="0" fontId="21" fillId="2" borderId="0"/>
    <xf numFmtId="0" fontId="22" fillId="0" borderId="0">
      <alignment wrapText="1"/>
    </xf>
    <xf numFmtId="0" fontId="104" fillId="0" borderId="0">
      <alignment wrapText="1"/>
    </xf>
    <xf numFmtId="0" fontId="22" fillId="0" borderId="0">
      <alignment wrapText="1"/>
    </xf>
    <xf numFmtId="0" fontId="104" fillId="0" borderId="0">
      <alignment wrapText="1"/>
    </xf>
    <xf numFmtId="0" fontId="104" fillId="0" borderId="0">
      <alignment wrapText="1"/>
    </xf>
    <xf numFmtId="0" fontId="5" fillId="0" borderId="0">
      <alignment wrapText="1"/>
    </xf>
    <xf numFmtId="0" fontId="5" fillId="0" borderId="0">
      <alignment wrapText="1"/>
    </xf>
    <xf numFmtId="0" fontId="104" fillId="0" borderId="0">
      <alignment wrapText="1"/>
    </xf>
    <xf numFmtId="0" fontId="104" fillId="0" borderId="0">
      <alignment wrapText="1"/>
    </xf>
    <xf numFmtId="0" fontId="22" fillId="0" borderId="0">
      <alignment wrapText="1"/>
    </xf>
    <xf numFmtId="0" fontId="104" fillId="0" borderId="0">
      <alignment wrapText="1"/>
    </xf>
    <xf numFmtId="0" fontId="104" fillId="0" borderId="0">
      <alignment wrapText="1"/>
    </xf>
    <xf numFmtId="0" fontId="104" fillId="0" borderId="0">
      <alignment wrapText="1"/>
    </xf>
    <xf numFmtId="0" fontId="22" fillId="0" borderId="0">
      <alignment wrapText="1"/>
    </xf>
    <xf numFmtId="0" fontId="110" fillId="11" borderId="0" applyNumberFormat="0" applyBorder="0" applyAlignment="0" applyProtection="0"/>
    <xf numFmtId="0" fontId="110" fillId="12" borderId="0" applyNumberFormat="0" applyBorder="0" applyAlignment="0" applyProtection="0"/>
    <xf numFmtId="0" fontId="110" fillId="13" borderId="0" applyNumberFormat="0" applyBorder="0" applyAlignment="0" applyProtection="0"/>
    <xf numFmtId="0" fontId="110" fillId="8" borderId="0" applyNumberFormat="0" applyBorder="0" applyAlignment="0" applyProtection="0"/>
    <xf numFmtId="0" fontId="110" fillId="11" borderId="0" applyNumberFormat="0" applyBorder="0" applyAlignment="0" applyProtection="0"/>
    <xf numFmtId="0" fontId="110" fillId="14"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8"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23" fillId="0" borderId="0"/>
    <xf numFmtId="0" fontId="23" fillId="0" borderId="0"/>
    <xf numFmtId="0" fontId="23" fillId="0" borderId="0"/>
    <xf numFmtId="0" fontId="5" fillId="0" borderId="0"/>
    <xf numFmtId="0" fontId="5" fillId="0" borderId="0"/>
    <xf numFmtId="0" fontId="23" fillId="0" borderId="0"/>
    <xf numFmtId="0" fontId="111" fillId="15" borderId="0" applyNumberFormat="0" applyBorder="0" applyAlignment="0" applyProtection="0"/>
    <xf numFmtId="0" fontId="111" fillId="12" borderId="0" applyNumberFormat="0" applyBorder="0" applyAlignment="0" applyProtection="0"/>
    <xf numFmtId="0" fontId="111" fillId="13" borderId="0" applyNumberFormat="0" applyBorder="0" applyAlignment="0" applyProtection="0"/>
    <xf numFmtId="0" fontId="111" fillId="16" borderId="0" applyNumberFormat="0" applyBorder="0" applyAlignment="0" applyProtection="0"/>
    <xf numFmtId="0" fontId="111" fillId="17" borderId="0" applyNumberFormat="0" applyBorder="0" applyAlignment="0" applyProtection="0"/>
    <xf numFmtId="0" fontId="111" fillId="18" borderId="0" applyNumberFormat="0" applyBorder="0" applyAlignment="0" applyProtection="0"/>
    <xf numFmtId="0" fontId="112" fillId="15" borderId="0" applyNumberFormat="0" applyBorder="0" applyAlignment="0" applyProtection="0"/>
    <xf numFmtId="0" fontId="112" fillId="12" borderId="0" applyNumberFormat="0" applyBorder="0" applyAlignment="0" applyProtection="0"/>
    <xf numFmtId="0" fontId="112" fillId="13" borderId="0" applyNumberFormat="0" applyBorder="0" applyAlignment="0" applyProtection="0"/>
    <xf numFmtId="0" fontId="112" fillId="16" borderId="0" applyNumberFormat="0" applyBorder="0" applyAlignment="0" applyProtection="0"/>
    <xf numFmtId="0" fontId="112" fillId="17" borderId="0" applyNumberFormat="0" applyBorder="0" applyAlignment="0" applyProtection="0"/>
    <xf numFmtId="0" fontId="112" fillId="18" borderId="0" applyNumberFormat="0" applyBorder="0" applyAlignment="0" applyProtection="0"/>
    <xf numFmtId="0" fontId="92" fillId="0" borderId="0"/>
    <xf numFmtId="0" fontId="111" fillId="19" borderId="0" applyNumberFormat="0" applyBorder="0" applyAlignment="0" applyProtection="0"/>
    <xf numFmtId="0" fontId="111" fillId="20" borderId="0" applyNumberFormat="0" applyBorder="0" applyAlignment="0" applyProtection="0"/>
    <xf numFmtId="0" fontId="111" fillId="21" borderId="0" applyNumberFormat="0" applyBorder="0" applyAlignment="0" applyProtection="0"/>
    <xf numFmtId="0" fontId="111" fillId="16" borderId="0" applyNumberFormat="0" applyBorder="0" applyAlignment="0" applyProtection="0"/>
    <xf numFmtId="0" fontId="111" fillId="17" borderId="0" applyNumberFormat="0" applyBorder="0" applyAlignment="0" applyProtection="0"/>
    <xf numFmtId="0" fontId="111" fillId="22" borderId="0" applyNumberFormat="0" applyBorder="0" applyAlignment="0" applyProtection="0"/>
    <xf numFmtId="255" fontId="7" fillId="0" borderId="0" applyFont="0" applyFill="0" applyBorder="0" applyAlignment="0" applyProtection="0"/>
    <xf numFmtId="0" fontId="25" fillId="0" borderId="0" applyFont="0" applyFill="0" applyBorder="0" applyAlignment="0" applyProtection="0"/>
    <xf numFmtId="175" fontId="26" fillId="0" borderId="0" applyFont="0" applyFill="0" applyBorder="0" applyAlignment="0" applyProtection="0"/>
    <xf numFmtId="256" fontId="7" fillId="0" borderId="0" applyFont="0" applyFill="0" applyBorder="0" applyAlignment="0" applyProtection="0"/>
    <xf numFmtId="0" fontId="25" fillId="0" borderId="0" applyFont="0" applyFill="0" applyBorder="0" applyAlignment="0" applyProtection="0"/>
    <xf numFmtId="176" fontId="26" fillId="0" borderId="0" applyFont="0" applyFill="0" applyBorder="0" applyAlignment="0" applyProtection="0"/>
    <xf numFmtId="0" fontId="27" fillId="0" borderId="0">
      <alignment horizontal="center" wrapText="1"/>
      <protection locked="0"/>
    </xf>
    <xf numFmtId="0" fontId="27" fillId="0" borderId="0">
      <alignment horizontal="center" wrapText="1"/>
      <protection locked="0"/>
    </xf>
    <xf numFmtId="0" fontId="113" fillId="0" borderId="0" applyNumberFormat="0" applyBorder="0" applyAlignment="0">
      <alignment horizontal="center"/>
    </xf>
    <xf numFmtId="177" fontId="114" fillId="0" borderId="0" applyFont="0" applyFill="0" applyBorder="0" applyAlignment="0" applyProtection="0"/>
    <xf numFmtId="0" fontId="25" fillId="0" borderId="0" applyFont="0" applyFill="0" applyBorder="0" applyAlignment="0" applyProtection="0"/>
    <xf numFmtId="177" fontId="114" fillId="0" borderId="0" applyFont="0" applyFill="0" applyBorder="0" applyAlignment="0" applyProtection="0"/>
    <xf numFmtId="178" fontId="114" fillId="0" borderId="0" applyFont="0" applyFill="0" applyBorder="0" applyAlignment="0" applyProtection="0"/>
    <xf numFmtId="0" fontId="25" fillId="0" borderId="0" applyFont="0" applyFill="0" applyBorder="0" applyAlignment="0" applyProtection="0"/>
    <xf numFmtId="178" fontId="114" fillId="0" borderId="0" applyFont="0" applyFill="0" applyBorder="0" applyAlignment="0" applyProtection="0"/>
    <xf numFmtId="168" fontId="4" fillId="0" borderId="0" applyFont="0" applyFill="0" applyBorder="0" applyAlignment="0" applyProtection="0"/>
    <xf numFmtId="0" fontId="7" fillId="0" borderId="0"/>
    <xf numFmtId="0" fontId="7" fillId="0" borderId="0"/>
    <xf numFmtId="0" fontId="7" fillId="0" borderId="0"/>
    <xf numFmtId="0" fontId="115" fillId="6" borderId="0" applyNumberFormat="0" applyBorder="0" applyAlignment="0" applyProtection="0"/>
    <xf numFmtId="0" fontId="28" fillId="0" borderId="0" applyNumberFormat="0" applyFill="0" applyBorder="0" applyAlignment="0" applyProtection="0"/>
    <xf numFmtId="0" fontId="25" fillId="0" borderId="0"/>
    <xf numFmtId="0" fontId="45" fillId="0" borderId="0"/>
    <xf numFmtId="0" fontId="55" fillId="0" borderId="0"/>
    <xf numFmtId="0" fontId="25" fillId="0" borderId="0"/>
    <xf numFmtId="0" fontId="29" fillId="0" borderId="0"/>
    <xf numFmtId="0" fontId="30" fillId="0" borderId="0"/>
    <xf numFmtId="179" fontId="31" fillId="0" borderId="0" applyFill="0" applyBorder="0" applyAlignment="0"/>
    <xf numFmtId="0" fontId="7" fillId="0" borderId="0" applyFill="0" applyBorder="0" applyAlignment="0"/>
    <xf numFmtId="180" fontId="32" fillId="0" borderId="0" applyFill="0" applyBorder="0" applyAlignment="0"/>
    <xf numFmtId="181" fontId="32" fillId="0" borderId="0" applyFill="0" applyBorder="0" applyAlignment="0"/>
    <xf numFmtId="182" fontId="32" fillId="0" borderId="0" applyFill="0" applyBorder="0" applyAlignment="0"/>
    <xf numFmtId="183" fontId="31" fillId="0" borderId="0" applyFill="0" applyBorder="0" applyAlignment="0"/>
    <xf numFmtId="183" fontId="7" fillId="0" borderId="0" applyFill="0" applyBorder="0" applyAlignment="0"/>
    <xf numFmtId="184" fontId="32" fillId="0" borderId="0" applyFill="0" applyBorder="0" applyAlignment="0"/>
    <xf numFmtId="185" fontId="32" fillId="0" borderId="0" applyFill="0" applyBorder="0" applyAlignment="0"/>
    <xf numFmtId="180" fontId="32" fillId="0" borderId="0" applyFill="0" applyBorder="0" applyAlignment="0"/>
    <xf numFmtId="0" fontId="116" fillId="23" borderId="8" applyNumberFormat="0" applyAlignment="0" applyProtection="0"/>
    <xf numFmtId="0" fontId="33" fillId="0" borderId="0"/>
    <xf numFmtId="257" fontId="12" fillId="0" borderId="0" applyFont="0" applyFill="0" applyBorder="0" applyAlignment="0" applyProtection="0"/>
    <xf numFmtId="230" fontId="120" fillId="0" borderId="0" applyFont="0" applyFill="0" applyBorder="0" applyAlignment="0" applyProtection="0"/>
    <xf numFmtId="43" fontId="198" fillId="0" borderId="0" applyFont="0" applyFill="0" applyBorder="0" applyAlignment="0" applyProtection="0"/>
    <xf numFmtId="186" fontId="35" fillId="0" borderId="0"/>
    <xf numFmtId="186" fontId="35" fillId="0" borderId="0"/>
    <xf numFmtId="186" fontId="35" fillId="0" borderId="0"/>
    <xf numFmtId="186" fontId="35" fillId="0" borderId="0"/>
    <xf numFmtId="186" fontId="35" fillId="0" borderId="0"/>
    <xf numFmtId="186" fontId="35" fillId="0" borderId="0"/>
    <xf numFmtId="186" fontId="35" fillId="0" borderId="0"/>
    <xf numFmtId="186" fontId="35" fillId="0" borderId="0"/>
    <xf numFmtId="41" fontId="92" fillId="0" borderId="0" applyFont="0" applyFill="0" applyBorder="0" applyAlignment="0" applyProtection="0"/>
    <xf numFmtId="258" fontId="94" fillId="0" borderId="0" applyFill="0" applyBorder="0" applyAlignment="0" applyProtection="0"/>
    <xf numFmtId="258" fontId="94" fillId="0" borderId="0" applyFill="0" applyBorder="0" applyAlignment="0" applyProtection="0"/>
    <xf numFmtId="258" fontId="94" fillId="0" borderId="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164" fontId="34" fillId="0" borderId="0" applyFont="0" applyFill="0" applyBorder="0" applyAlignment="0" applyProtection="0"/>
    <xf numFmtId="184" fontId="32" fillId="0" borderId="0" applyFont="0" applyFill="0" applyBorder="0" applyAlignment="0" applyProtection="0"/>
    <xf numFmtId="43" fontId="7" fillId="0" borderId="0" applyFont="0" applyFill="0" applyBorder="0" applyAlignment="0" applyProtection="0"/>
    <xf numFmtId="43" fontId="36" fillId="0" borderId="0" applyFont="0" applyFill="0" applyBorder="0" applyAlignment="0" applyProtection="0"/>
    <xf numFmtId="165" fontId="7" fillId="0" borderId="0" applyFill="0" applyBorder="0" applyAlignment="0" applyProtection="0"/>
    <xf numFmtId="43" fontId="92" fillId="0" borderId="0" applyFont="0" applyFill="0" applyBorder="0" applyAlignment="0" applyProtection="0"/>
    <xf numFmtId="167" fontId="8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5" fontId="199" fillId="0" borderId="0" applyFont="0" applyFill="0" applyBorder="0" applyAlignment="0" applyProtection="0"/>
    <xf numFmtId="43" fontId="37" fillId="0" borderId="0" applyFont="0" applyFill="0" applyBorder="0" applyAlignment="0" applyProtection="0"/>
    <xf numFmtId="187" fontId="37" fillId="0" borderId="0" applyFont="0" applyFill="0" applyBorder="0" applyAlignment="0" applyProtection="0"/>
    <xf numFmtId="166" fontId="199" fillId="0" borderId="0" applyFont="0" applyFill="0" applyBorder="0" applyAlignment="0" applyProtection="0"/>
    <xf numFmtId="0" fontId="36"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188" fontId="7" fillId="0" borderId="0" applyFont="0" applyFill="0" applyBorder="0" applyAlignment="0" applyProtection="0"/>
    <xf numFmtId="188" fontId="7" fillId="0" borderId="0" applyFont="0" applyFill="0" applyBorder="0" applyAlignment="0" applyProtection="0"/>
    <xf numFmtId="43" fontId="199"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92" fillId="0" borderId="0" applyFont="0" applyFill="0" applyBorder="0" applyAlignment="0" applyProtection="0"/>
    <xf numFmtId="43" fontId="7" fillId="0" borderId="0" applyFont="0" applyFill="0" applyBorder="0" applyAlignment="0" applyProtection="0"/>
    <xf numFmtId="165" fontId="37" fillId="0" borderId="0" applyFont="0" applyFill="0" applyBorder="0" applyAlignment="0" applyProtection="0"/>
    <xf numFmtId="43" fontId="7" fillId="0" borderId="0" applyFont="0" applyFill="0" applyBorder="0" applyAlignment="0" applyProtection="0"/>
    <xf numFmtId="189" fontId="37" fillId="0" borderId="0" applyFont="0" applyFill="0" applyBorder="0" applyAlignment="0" applyProtection="0"/>
    <xf numFmtId="187" fontId="37" fillId="0" borderId="0" applyFont="0" applyFill="0" applyBorder="0" applyAlignment="0" applyProtection="0"/>
    <xf numFmtId="0" fontId="36" fillId="0" borderId="0" applyFont="0" applyFill="0" applyBorder="0" applyAlignment="0" applyProtection="0"/>
    <xf numFmtId="259" fontId="86" fillId="0" borderId="0" applyFont="0" applyFill="0" applyBorder="0" applyAlignment="0" applyProtection="0"/>
    <xf numFmtId="190"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43" fontId="200" fillId="0" borderId="0" applyFont="0" applyFill="0" applyBorder="0" applyAlignment="0" applyProtection="0"/>
    <xf numFmtId="191" fontId="37" fillId="0" borderId="0" applyFont="0" applyFill="0" applyBorder="0" applyAlignment="0" applyProtection="0"/>
    <xf numFmtId="43" fontId="39" fillId="0" borderId="0" applyFont="0" applyFill="0" applyBorder="0" applyAlignment="0" applyProtection="0"/>
    <xf numFmtId="43" fontId="31" fillId="0" borderId="0" applyFont="0" applyFill="0" applyBorder="0" applyAlignment="0" applyProtection="0"/>
    <xf numFmtId="43" fontId="92" fillId="0" borderId="0" applyFont="0" applyFill="0" applyBorder="0" applyAlignment="0" applyProtection="0"/>
    <xf numFmtId="192" fontId="201" fillId="0" borderId="0" applyFont="0" applyFill="0" applyBorder="0" applyAlignment="0" applyProtection="0"/>
    <xf numFmtId="43" fontId="91" fillId="0" borderId="0" applyFont="0" applyFill="0" applyBorder="0" applyAlignment="0" applyProtection="0"/>
    <xf numFmtId="193" fontId="13" fillId="0" borderId="0"/>
    <xf numFmtId="260" fontId="55" fillId="0" borderId="0"/>
    <xf numFmtId="3" fontId="7" fillId="0" borderId="0" applyFont="0" applyFill="0" applyBorder="0" applyAlignment="0" applyProtection="0"/>
    <xf numFmtId="0" fontId="121" fillId="0" borderId="0"/>
    <xf numFmtId="0" fontId="32" fillId="0" borderId="0"/>
    <xf numFmtId="3" fontId="94" fillId="0" borderId="0" applyFill="0" applyBorder="0" applyAlignment="0" applyProtection="0"/>
    <xf numFmtId="0" fontId="121" fillId="0" borderId="0"/>
    <xf numFmtId="0" fontId="32" fillId="0" borderId="0"/>
    <xf numFmtId="0" fontId="122" fillId="0" borderId="0">
      <alignment horizontal="center"/>
    </xf>
    <xf numFmtId="0" fontId="40" fillId="0" borderId="0" applyNumberFormat="0" applyAlignment="0">
      <alignment horizontal="left"/>
    </xf>
    <xf numFmtId="261" fontId="45" fillId="0" borderId="0" applyFont="0" applyFill="0" applyBorder="0" applyAlignment="0" applyProtection="0"/>
    <xf numFmtId="180" fontId="32" fillId="0" borderId="0" applyFont="0" applyFill="0" applyBorder="0" applyAlignment="0" applyProtection="0"/>
    <xf numFmtId="194" fontId="4" fillId="0" borderId="0" applyFont="0" applyFill="0" applyBorder="0" applyAlignment="0" applyProtection="0"/>
    <xf numFmtId="262" fontId="7" fillId="0" borderId="0" applyFont="0" applyFill="0" applyBorder="0" applyAlignment="0" applyProtection="0"/>
    <xf numFmtId="262" fontId="7" fillId="0" borderId="0" applyFont="0" applyFill="0" applyBorder="0" applyAlignment="0" applyProtection="0"/>
    <xf numFmtId="262" fontId="7" fillId="0" borderId="0" applyFont="0" applyFill="0" applyBorder="0" applyAlignment="0" applyProtection="0"/>
    <xf numFmtId="262" fontId="7" fillId="0" borderId="0" applyFont="0" applyFill="0" applyBorder="0" applyAlignment="0" applyProtection="0"/>
    <xf numFmtId="204" fontId="7" fillId="0" borderId="0" applyFont="0" applyFill="0" applyBorder="0" applyAlignment="0" applyProtection="0"/>
    <xf numFmtId="204" fontId="7" fillId="0" borderId="0" applyFont="0" applyFill="0" applyBorder="0" applyAlignment="0" applyProtection="0"/>
    <xf numFmtId="204" fontId="7" fillId="0" borderId="0" applyFont="0" applyFill="0" applyBorder="0" applyAlignment="0" applyProtection="0"/>
    <xf numFmtId="263" fontId="5" fillId="0" borderId="0" applyFont="0" applyFill="0" applyBorder="0" applyAlignment="0" applyProtection="0"/>
    <xf numFmtId="195" fontId="13" fillId="0" borderId="0"/>
    <xf numFmtId="264" fontId="7" fillId="0" borderId="0"/>
    <xf numFmtId="0" fontId="117" fillId="24" borderId="9" applyNumberFormat="0" applyAlignment="0" applyProtection="0"/>
    <xf numFmtId="167" fontId="34" fillId="0" borderId="0" applyFont="0" applyFill="0" applyBorder="0" applyAlignment="0" applyProtection="0"/>
    <xf numFmtId="4" fontId="118" fillId="0" borderId="0" applyAlignment="0"/>
    <xf numFmtId="0" fontId="31" fillId="0" borderId="0"/>
    <xf numFmtId="1" fontId="119" fillId="0" borderId="10" applyBorder="0"/>
    <xf numFmtId="179" fontId="5" fillId="0" borderId="11"/>
    <xf numFmtId="179" fontId="5" fillId="0" borderId="11"/>
    <xf numFmtId="0" fontId="7" fillId="0" borderId="0" applyFont="0" applyFill="0" applyBorder="0" applyAlignment="0" applyProtection="0"/>
    <xf numFmtId="14" fontId="14" fillId="0" borderId="0" applyFill="0" applyBorder="0" applyAlignment="0"/>
    <xf numFmtId="14" fontId="14" fillId="0" borderId="0" applyFill="0" applyBorder="0" applyAlignment="0"/>
    <xf numFmtId="0" fontId="7" fillId="0" borderId="0" applyFont="0" applyFill="0" applyBorder="0" applyAlignment="0" applyProtection="0"/>
    <xf numFmtId="3" fontId="125" fillId="0" borderId="12">
      <alignment horizontal="left" vertical="top" wrapText="1"/>
    </xf>
    <xf numFmtId="41" fontId="58" fillId="0" borderId="0" applyFont="0" applyFill="0" applyBorder="0" applyAlignment="0" applyProtection="0"/>
    <xf numFmtId="265" fontId="94" fillId="0" borderId="0" applyFill="0" applyBorder="0" applyProtection="0">
      <alignment vertical="center"/>
    </xf>
    <xf numFmtId="266" fontId="5" fillId="0" borderId="0" applyFont="0" applyFill="0" applyBorder="0" applyProtection="0">
      <alignment vertical="center"/>
    </xf>
    <xf numFmtId="266" fontId="5" fillId="0" borderId="0" applyFont="0" applyFill="0" applyBorder="0" applyProtection="0">
      <alignment vertical="center"/>
    </xf>
    <xf numFmtId="266" fontId="5" fillId="0" borderId="0" applyFont="0" applyFill="0" applyBorder="0" applyProtection="0">
      <alignment vertical="center"/>
    </xf>
    <xf numFmtId="267" fontId="7" fillId="0" borderId="13">
      <alignment vertical="center"/>
    </xf>
    <xf numFmtId="267" fontId="7" fillId="0" borderId="13">
      <alignment vertical="center"/>
    </xf>
    <xf numFmtId="0" fontId="7" fillId="0" borderId="0" applyFont="0" applyFill="0" applyBorder="0" applyAlignment="0" applyProtection="0"/>
    <xf numFmtId="0" fontId="7" fillId="0" borderId="0" applyFont="0" applyFill="0" applyBorder="0" applyAlignment="0" applyProtection="0"/>
    <xf numFmtId="268" fontId="5" fillId="0" borderId="0"/>
    <xf numFmtId="269" fontId="23" fillId="0" borderId="1"/>
    <xf numFmtId="269" fontId="23" fillId="0" borderId="1"/>
    <xf numFmtId="0" fontId="129" fillId="0" borderId="0">
      <protection locked="0"/>
    </xf>
    <xf numFmtId="196" fontId="13" fillId="0" borderId="0"/>
    <xf numFmtId="270" fontId="7" fillId="0" borderId="0"/>
    <xf numFmtId="271" fontId="23" fillId="0" borderId="0"/>
    <xf numFmtId="271" fontId="23" fillId="0" borderId="0"/>
    <xf numFmtId="0" fontId="120" fillId="0" borderId="0">
      <alignment vertical="top" wrapText="1"/>
    </xf>
    <xf numFmtId="171" fontId="41" fillId="0" borderId="0" applyFont="0" applyFill="0" applyBorder="0" applyAlignment="0" applyProtection="0"/>
    <xf numFmtId="172" fontId="41" fillId="0" borderId="0" applyFont="0" applyFill="0" applyBorder="0" applyAlignment="0" applyProtection="0"/>
    <xf numFmtId="171" fontId="41" fillId="0" borderId="0" applyFont="0" applyFill="0" applyBorder="0" applyAlignment="0" applyProtection="0"/>
    <xf numFmtId="41" fontId="41" fillId="0" borderId="0" applyFont="0" applyFill="0" applyBorder="0" applyAlignment="0" applyProtection="0"/>
    <xf numFmtId="272" fontId="7" fillId="0" borderId="0" applyFont="0" applyFill="0" applyBorder="0" applyAlignment="0" applyProtection="0"/>
    <xf numFmtId="272" fontId="7" fillId="0" borderId="0" applyFont="0" applyFill="0" applyBorder="0" applyAlignment="0" applyProtection="0"/>
    <xf numFmtId="272" fontId="7" fillId="0" borderId="0" applyFont="0" applyFill="0" applyBorder="0" applyAlignment="0" applyProtection="0"/>
    <xf numFmtId="272" fontId="7" fillId="0" borderId="0" applyFont="0" applyFill="0" applyBorder="0" applyAlignment="0" applyProtection="0"/>
    <xf numFmtId="272" fontId="7" fillId="0" borderId="0" applyFont="0" applyFill="0" applyBorder="0" applyAlignment="0" applyProtection="0"/>
    <xf numFmtId="272" fontId="7" fillId="0" borderId="0" applyFont="0" applyFill="0" applyBorder="0" applyAlignment="0" applyProtection="0"/>
    <xf numFmtId="272" fontId="7" fillId="0" borderId="0" applyFont="0" applyFill="0" applyBorder="0" applyAlignment="0" applyProtection="0"/>
    <xf numFmtId="272" fontId="7" fillId="0" borderId="0" applyFont="0" applyFill="0" applyBorder="0" applyAlignment="0" applyProtection="0"/>
    <xf numFmtId="171" fontId="41" fillId="0" borderId="0" applyFont="0" applyFill="0" applyBorder="0" applyAlignment="0" applyProtection="0"/>
    <xf numFmtId="171" fontId="41" fillId="0" borderId="0" applyFont="0" applyFill="0" applyBorder="0" applyAlignment="0" applyProtection="0"/>
    <xf numFmtId="272" fontId="7" fillId="0" borderId="0" applyFont="0" applyFill="0" applyBorder="0" applyAlignment="0" applyProtection="0"/>
    <xf numFmtId="272" fontId="7" fillId="0" borderId="0" applyFont="0" applyFill="0" applyBorder="0" applyAlignment="0" applyProtection="0"/>
    <xf numFmtId="272" fontId="7" fillId="0" borderId="0" applyFont="0" applyFill="0" applyBorder="0" applyAlignment="0" applyProtection="0"/>
    <xf numFmtId="272" fontId="7" fillId="0" borderId="0" applyFont="0" applyFill="0" applyBorder="0" applyAlignment="0" applyProtection="0"/>
    <xf numFmtId="273" fontId="5" fillId="0" borderId="0" applyFont="0" applyFill="0" applyBorder="0" applyAlignment="0" applyProtection="0"/>
    <xf numFmtId="273" fontId="5" fillId="0" borderId="0" applyFont="0" applyFill="0" applyBorder="0" applyAlignment="0" applyProtection="0"/>
    <xf numFmtId="273" fontId="5" fillId="0" borderId="0" applyFont="0" applyFill="0" applyBorder="0" applyAlignment="0" applyProtection="0"/>
    <xf numFmtId="273" fontId="5" fillId="0" borderId="0" applyFont="0" applyFill="0" applyBorder="0" applyAlignment="0" applyProtection="0"/>
    <xf numFmtId="274" fontId="5" fillId="0" borderId="0" applyFont="0" applyFill="0" applyBorder="0" applyAlignment="0" applyProtection="0"/>
    <xf numFmtId="274" fontId="5" fillId="0" borderId="0" applyFont="0" applyFill="0" applyBorder="0" applyAlignment="0" applyProtection="0"/>
    <xf numFmtId="274" fontId="5" fillId="0" borderId="0" applyFont="0" applyFill="0" applyBorder="0" applyAlignment="0" applyProtection="0"/>
    <xf numFmtId="274" fontId="5" fillId="0" borderId="0" applyFont="0" applyFill="0" applyBorder="0" applyAlignment="0" applyProtection="0"/>
    <xf numFmtId="164" fontId="41" fillId="0" borderId="0" applyFont="0" applyFill="0" applyBorder="0" applyAlignment="0" applyProtection="0"/>
    <xf numFmtId="164" fontId="41" fillId="0" borderId="0" applyFont="0" applyFill="0" applyBorder="0" applyAlignment="0" applyProtection="0"/>
    <xf numFmtId="41" fontId="41" fillId="0" borderId="0" applyFont="0" applyFill="0" applyBorder="0" applyAlignment="0" applyProtection="0"/>
    <xf numFmtId="41" fontId="41" fillId="0" borderId="0" applyFont="0" applyFill="0" applyBorder="0" applyAlignment="0" applyProtection="0"/>
    <xf numFmtId="164" fontId="41" fillId="0" borderId="0" applyFont="0" applyFill="0" applyBorder="0" applyAlignment="0" applyProtection="0"/>
    <xf numFmtId="164" fontId="41" fillId="0" borderId="0" applyFont="0" applyFill="0" applyBorder="0" applyAlignment="0" applyProtection="0"/>
    <xf numFmtId="164" fontId="41" fillId="0" borderId="0" applyFont="0" applyFill="0" applyBorder="0" applyAlignment="0" applyProtection="0"/>
    <xf numFmtId="164" fontId="41" fillId="0" borderId="0" applyFont="0" applyFill="0" applyBorder="0" applyAlignment="0" applyProtection="0"/>
    <xf numFmtId="164" fontId="41" fillId="0" borderId="0" applyFont="0" applyFill="0" applyBorder="0" applyAlignment="0" applyProtection="0"/>
    <xf numFmtId="164" fontId="41" fillId="0" borderId="0" applyFont="0" applyFill="0" applyBorder="0" applyAlignment="0" applyProtection="0"/>
    <xf numFmtId="164" fontId="41" fillId="0" borderId="0" applyFont="0" applyFill="0" applyBorder="0" applyAlignment="0" applyProtection="0"/>
    <xf numFmtId="164" fontId="41" fillId="0" borderId="0" applyFont="0" applyFill="0" applyBorder="0" applyAlignment="0" applyProtection="0"/>
    <xf numFmtId="164" fontId="41" fillId="0" borderId="0" applyFont="0" applyFill="0" applyBorder="0" applyAlignment="0" applyProtection="0"/>
    <xf numFmtId="164" fontId="41" fillId="0" borderId="0" applyFont="0" applyFill="0" applyBorder="0" applyAlignment="0" applyProtection="0"/>
    <xf numFmtId="164" fontId="41" fillId="0" borderId="0" applyFont="0" applyFill="0" applyBorder="0" applyAlignment="0" applyProtection="0"/>
    <xf numFmtId="171" fontId="41" fillId="0" borderId="0" applyFont="0" applyFill="0" applyBorder="0" applyAlignment="0" applyProtection="0"/>
    <xf numFmtId="164" fontId="41" fillId="0" borderId="0" applyFont="0" applyFill="0" applyBorder="0" applyAlignment="0" applyProtection="0"/>
    <xf numFmtId="171" fontId="41" fillId="0" borderId="0" applyFont="0" applyFill="0" applyBorder="0" applyAlignment="0" applyProtection="0"/>
    <xf numFmtId="41" fontId="41" fillId="0" borderId="0" applyFont="0" applyFill="0" applyBorder="0" applyAlignment="0" applyProtection="0"/>
    <xf numFmtId="41" fontId="41" fillId="0" borderId="0" applyFont="0" applyFill="0" applyBorder="0" applyAlignment="0" applyProtection="0"/>
    <xf numFmtId="164" fontId="41" fillId="0" borderId="0" applyFont="0" applyFill="0" applyBorder="0" applyAlignment="0" applyProtection="0"/>
    <xf numFmtId="164" fontId="41" fillId="0" borderId="0" applyFont="0" applyFill="0" applyBorder="0" applyAlignment="0" applyProtection="0"/>
    <xf numFmtId="164" fontId="41" fillId="0" borderId="0" applyFont="0" applyFill="0" applyBorder="0" applyAlignment="0" applyProtection="0"/>
    <xf numFmtId="172" fontId="41" fillId="0" borderId="0" applyFont="0" applyFill="0" applyBorder="0" applyAlignment="0" applyProtection="0"/>
    <xf numFmtId="43" fontId="41" fillId="0" borderId="0" applyFont="0" applyFill="0" applyBorder="0" applyAlignment="0" applyProtection="0"/>
    <xf numFmtId="275" fontId="7" fillId="0" borderId="0" applyFont="0" applyFill="0" applyBorder="0" applyAlignment="0" applyProtection="0"/>
    <xf numFmtId="275" fontId="7" fillId="0" borderId="0" applyFont="0" applyFill="0" applyBorder="0" applyAlignment="0" applyProtection="0"/>
    <xf numFmtId="275" fontId="7" fillId="0" borderId="0" applyFont="0" applyFill="0" applyBorder="0" applyAlignment="0" applyProtection="0"/>
    <xf numFmtId="275" fontId="7" fillId="0" borderId="0" applyFont="0" applyFill="0" applyBorder="0" applyAlignment="0" applyProtection="0"/>
    <xf numFmtId="275" fontId="7" fillId="0" borderId="0" applyFont="0" applyFill="0" applyBorder="0" applyAlignment="0" applyProtection="0"/>
    <xf numFmtId="275" fontId="7" fillId="0" borderId="0" applyFont="0" applyFill="0" applyBorder="0" applyAlignment="0" applyProtection="0"/>
    <xf numFmtId="275" fontId="7" fillId="0" borderId="0" applyFont="0" applyFill="0" applyBorder="0" applyAlignment="0" applyProtection="0"/>
    <xf numFmtId="275" fontId="7" fillId="0" borderId="0" applyFont="0" applyFill="0" applyBorder="0" applyAlignment="0" applyProtection="0"/>
    <xf numFmtId="172" fontId="41" fillId="0" borderId="0" applyFont="0" applyFill="0" applyBorder="0" applyAlignment="0" applyProtection="0"/>
    <xf numFmtId="172" fontId="41" fillId="0" borderId="0" applyFont="0" applyFill="0" applyBorder="0" applyAlignment="0" applyProtection="0"/>
    <xf numFmtId="275" fontId="7" fillId="0" borderId="0" applyFont="0" applyFill="0" applyBorder="0" applyAlignment="0" applyProtection="0"/>
    <xf numFmtId="275" fontId="7" fillId="0" borderId="0" applyFont="0" applyFill="0" applyBorder="0" applyAlignment="0" applyProtection="0"/>
    <xf numFmtId="275" fontId="7" fillId="0" borderId="0" applyFont="0" applyFill="0" applyBorder="0" applyAlignment="0" applyProtection="0"/>
    <xf numFmtId="275" fontId="7" fillId="0" borderId="0" applyFont="0" applyFill="0" applyBorder="0" applyAlignment="0" applyProtection="0"/>
    <xf numFmtId="276" fontId="5" fillId="0" borderId="0" applyFont="0" applyFill="0" applyBorder="0" applyAlignment="0" applyProtection="0"/>
    <xf numFmtId="276" fontId="5" fillId="0" borderId="0" applyFont="0" applyFill="0" applyBorder="0" applyAlignment="0" applyProtection="0"/>
    <xf numFmtId="276" fontId="5" fillId="0" borderId="0" applyFont="0" applyFill="0" applyBorder="0" applyAlignment="0" applyProtection="0"/>
    <xf numFmtId="276" fontId="5" fillId="0" borderId="0" applyFont="0" applyFill="0" applyBorder="0" applyAlignment="0" applyProtection="0"/>
    <xf numFmtId="277" fontId="5" fillId="0" borderId="0" applyFont="0" applyFill="0" applyBorder="0" applyAlignment="0" applyProtection="0"/>
    <xf numFmtId="277" fontId="5" fillId="0" borderId="0" applyFont="0" applyFill="0" applyBorder="0" applyAlignment="0" applyProtection="0"/>
    <xf numFmtId="277" fontId="5" fillId="0" borderId="0" applyFont="0" applyFill="0" applyBorder="0" applyAlignment="0" applyProtection="0"/>
    <xf numFmtId="277" fontId="5"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72" fontId="41" fillId="0" borderId="0" applyFont="0" applyFill="0" applyBorder="0" applyAlignment="0" applyProtection="0"/>
    <xf numFmtId="165" fontId="41" fillId="0" borderId="0" applyFont="0" applyFill="0" applyBorder="0" applyAlignment="0" applyProtection="0"/>
    <xf numFmtId="172"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0" fontId="123" fillId="23" borderId="14" applyNumberFormat="0" applyAlignment="0" applyProtection="0"/>
    <xf numFmtId="0" fontId="124" fillId="10" borderId="8" applyNumberFormat="0" applyAlignment="0" applyProtection="0"/>
    <xf numFmtId="0" fontId="126" fillId="0" borderId="15" applyNumberFormat="0" applyFill="0" applyAlignment="0" applyProtection="0"/>
    <xf numFmtId="0" fontId="127" fillId="0" borderId="16" applyNumberFormat="0" applyFill="0" applyAlignment="0" applyProtection="0"/>
    <xf numFmtId="0" fontId="128" fillId="0" borderId="17" applyNumberFormat="0" applyFill="0" applyAlignment="0" applyProtection="0"/>
    <xf numFmtId="0" fontId="128" fillId="0" borderId="0" applyNumberFormat="0" applyFill="0" applyBorder="0" applyAlignment="0" applyProtection="0"/>
    <xf numFmtId="3" fontId="5" fillId="0" borderId="0" applyFont="0" applyBorder="0" applyAlignment="0"/>
    <xf numFmtId="0" fontId="130" fillId="0" borderId="0">
      <protection locked="0"/>
    </xf>
    <xf numFmtId="0" fontId="130" fillId="0" borderId="0">
      <protection locked="0"/>
    </xf>
    <xf numFmtId="184" fontId="32" fillId="0" borderId="0" applyFill="0" applyBorder="0" applyAlignment="0"/>
    <xf numFmtId="180" fontId="32" fillId="0" borderId="0" applyFill="0" applyBorder="0" applyAlignment="0"/>
    <xf numFmtId="184" fontId="32" fillId="0" borderId="0" applyFill="0" applyBorder="0" applyAlignment="0"/>
    <xf numFmtId="185" fontId="32" fillId="0" borderId="0" applyFill="0" applyBorder="0" applyAlignment="0"/>
    <xf numFmtId="180" fontId="32" fillId="0" borderId="0" applyFill="0" applyBorder="0" applyAlignment="0"/>
    <xf numFmtId="0" fontId="42" fillId="0" borderId="0" applyNumberFormat="0" applyAlignment="0">
      <alignment horizontal="left"/>
    </xf>
    <xf numFmtId="190" fontId="131" fillId="0" borderId="0">
      <protection locked="0"/>
    </xf>
    <xf numFmtId="190" fontId="131" fillId="0" borderId="0">
      <protection locked="0"/>
    </xf>
    <xf numFmtId="197" fontId="5" fillId="0" borderId="0" applyFont="0" applyFill="0" applyBorder="0" applyAlignment="0" applyProtection="0"/>
    <xf numFmtId="278" fontId="7" fillId="0" borderId="0" applyFont="0" applyFill="0" applyBorder="0" applyAlignment="0" applyProtection="0"/>
    <xf numFmtId="0" fontId="43" fillId="0" borderId="0"/>
    <xf numFmtId="0" fontId="132" fillId="0" borderId="0" applyNumberFormat="0" applyFill="0" applyBorder="0" applyAlignment="0" applyProtection="0"/>
    <xf numFmtId="3" fontId="5" fillId="0" borderId="0" applyFont="0" applyBorder="0" applyAlignment="0"/>
    <xf numFmtId="0" fontId="129" fillId="0" borderId="0">
      <protection locked="0"/>
    </xf>
    <xf numFmtId="0" fontId="129" fillId="0" borderId="0">
      <protection locked="0"/>
    </xf>
    <xf numFmtId="0" fontId="129" fillId="0" borderId="0">
      <protection locked="0"/>
    </xf>
    <xf numFmtId="0" fontId="129" fillId="0" borderId="0">
      <protection locked="0"/>
    </xf>
    <xf numFmtId="0" fontId="129" fillId="0" borderId="0">
      <protection locked="0"/>
    </xf>
    <xf numFmtId="0" fontId="129" fillId="0" borderId="0">
      <protection locked="0"/>
    </xf>
    <xf numFmtId="0" fontId="129" fillId="0" borderId="0">
      <protection locked="0"/>
    </xf>
    <xf numFmtId="0" fontId="129" fillId="0" borderId="0">
      <protection locked="0"/>
    </xf>
    <xf numFmtId="4" fontId="129" fillId="0" borderId="0">
      <protection locked="0"/>
    </xf>
    <xf numFmtId="0" fontId="129" fillId="0" borderId="0">
      <protection locked="0"/>
    </xf>
    <xf numFmtId="279" fontId="5" fillId="0" borderId="0">
      <protection locked="0"/>
    </xf>
    <xf numFmtId="279" fontId="5" fillId="0" borderId="0">
      <protection locked="0"/>
    </xf>
    <xf numFmtId="2" fontId="7" fillId="0" borderId="0" applyFont="0" applyFill="0" applyBorder="0" applyAlignment="0" applyProtection="0"/>
    <xf numFmtId="0" fontId="133" fillId="0" borderId="0" applyNumberFormat="0" applyFill="0" applyBorder="0" applyAlignment="0" applyProtection="0"/>
    <xf numFmtId="0" fontId="134" fillId="0" borderId="0" applyNumberFormat="0" applyFill="0" applyBorder="0" applyProtection="0">
      <alignment vertical="center"/>
    </xf>
    <xf numFmtId="0" fontId="135" fillId="0" borderId="0" applyNumberFormat="0" applyFill="0" applyBorder="0" applyAlignment="0" applyProtection="0"/>
    <xf numFmtId="0" fontId="136" fillId="0" borderId="0" applyNumberFormat="0" applyFill="0" applyBorder="0" applyProtection="0">
      <alignment vertical="center"/>
    </xf>
    <xf numFmtId="0" fontId="137" fillId="0" borderId="0" applyNumberFormat="0" applyFill="0" applyBorder="0" applyAlignment="0" applyProtection="0"/>
    <xf numFmtId="0" fontId="138" fillId="0" borderId="0" applyNumberFormat="0" applyFill="0" applyBorder="0" applyAlignment="0" applyProtection="0"/>
    <xf numFmtId="280" fontId="93" fillId="0" borderId="18" applyNumberFormat="0" applyFill="0" applyBorder="0" applyAlignment="0" applyProtection="0"/>
    <xf numFmtId="0" fontId="139" fillId="0" borderId="0" applyNumberFormat="0" applyFill="0" applyBorder="0" applyAlignment="0" applyProtection="0"/>
    <xf numFmtId="0" fontId="140" fillId="25" borderId="19" applyNumberFormat="0" applyAlignment="0">
      <protection locked="0"/>
    </xf>
    <xf numFmtId="0" fontId="7" fillId="26" borderId="20" applyNumberFormat="0" applyFont="0" applyAlignment="0" applyProtection="0"/>
    <xf numFmtId="0" fontId="7" fillId="26" borderId="20" applyNumberFormat="0" applyFont="0" applyAlignment="0" applyProtection="0"/>
    <xf numFmtId="0" fontId="142" fillId="7" borderId="0" applyNumberFormat="0" applyBorder="0" applyAlignment="0" applyProtection="0"/>
    <xf numFmtId="38" fontId="44" fillId="27" borderId="0" applyNumberFormat="0" applyBorder="0" applyAlignment="0" applyProtection="0"/>
    <xf numFmtId="281" fontId="1" fillId="2" borderId="0" applyBorder="0" applyProtection="0"/>
    <xf numFmtId="0" fontId="141" fillId="0" borderId="0">
      <alignment vertical="top" wrapText="1"/>
    </xf>
    <xf numFmtId="0" fontId="143" fillId="0" borderId="21" applyNumberFormat="0" applyFill="0" applyBorder="0" applyAlignment="0" applyProtection="0">
      <alignment horizontal="center" vertical="center"/>
    </xf>
    <xf numFmtId="0" fontId="144" fillId="0" borderId="0" applyNumberFormat="0" applyFont="0" applyBorder="0" applyAlignment="0">
      <alignment horizontal="left" vertical="center"/>
    </xf>
    <xf numFmtId="198" fontId="45" fillId="0" borderId="0" applyFont="0" applyFill="0" applyBorder="0" applyAlignment="0" applyProtection="0"/>
    <xf numFmtId="0" fontId="46" fillId="28" borderId="0"/>
    <xf numFmtId="0" fontId="47" fillId="0" borderId="0">
      <alignment horizontal="left"/>
    </xf>
    <xf numFmtId="0" fontId="48" fillId="0" borderId="22" applyNumberFormat="0" applyAlignment="0" applyProtection="0">
      <alignment horizontal="left" vertical="center"/>
    </xf>
    <xf numFmtId="0" fontId="48" fillId="0" borderId="23">
      <alignment horizontal="left" vertical="center"/>
    </xf>
    <xf numFmtId="0" fontId="49" fillId="0" borderId="0" applyNumberFormat="0" applyFill="0" applyBorder="0" applyAlignment="0" applyProtection="0"/>
    <xf numFmtId="0" fontId="48" fillId="0" borderId="0" applyNumberFormat="0" applyFill="0" applyBorder="0" applyAlignment="0" applyProtection="0"/>
    <xf numFmtId="0" fontId="145" fillId="0" borderId="17" applyNumberFormat="0" applyFill="0" applyAlignment="0" applyProtection="0"/>
    <xf numFmtId="0" fontId="145" fillId="0" borderId="0" applyNumberFormat="0" applyFill="0" applyBorder="0" applyAlignment="0" applyProtection="0"/>
    <xf numFmtId="0" fontId="49" fillId="0" borderId="0" applyProtection="0"/>
    <xf numFmtId="0" fontId="48" fillId="0" borderId="0" applyProtection="0"/>
    <xf numFmtId="0" fontId="50" fillId="0" borderId="24">
      <alignment horizontal="center"/>
    </xf>
    <xf numFmtId="0" fontId="50" fillId="0" borderId="0">
      <alignment horizontal="center"/>
    </xf>
    <xf numFmtId="5" fontId="51" fillId="29" borderId="1" applyNumberFormat="0" applyAlignment="0">
      <alignment horizontal="left" vertical="top"/>
    </xf>
    <xf numFmtId="0" fontId="146" fillId="0" borderId="0"/>
    <xf numFmtId="49" fontId="52" fillId="0" borderId="1">
      <alignment vertical="center"/>
    </xf>
    <xf numFmtId="0" fontId="55" fillId="0" borderId="0"/>
    <xf numFmtId="0" fontId="214" fillId="0" borderId="0" applyNumberFormat="0" applyFill="0" applyBorder="0" applyAlignment="0" applyProtection="0"/>
    <xf numFmtId="171" fontId="5" fillId="0" borderId="0" applyFont="0" applyFill="0" applyBorder="0" applyAlignment="0" applyProtection="0"/>
    <xf numFmtId="38" fontId="13" fillId="0" borderId="0" applyFont="0" applyFill="0" applyBorder="0" applyAlignment="0" applyProtection="0"/>
    <xf numFmtId="38" fontId="13" fillId="0" borderId="0" applyFont="0" applyFill="0" applyBorder="0" applyAlignment="0" applyProtection="0"/>
    <xf numFmtId="174" fontId="12" fillId="0" borderId="0" applyFont="0" applyFill="0" applyBorder="0" applyAlignment="0" applyProtection="0"/>
    <xf numFmtId="282" fontId="24" fillId="0" borderId="0" applyFont="0" applyFill="0" applyBorder="0" applyAlignment="0" applyProtection="0"/>
    <xf numFmtId="10" fontId="44" fillId="27" borderId="1" applyNumberFormat="0" applyBorder="0" applyAlignment="0" applyProtection="0"/>
    <xf numFmtId="0" fontId="147" fillId="10" borderId="8" applyNumberFormat="0" applyAlignment="0" applyProtection="0"/>
    <xf numFmtId="2" fontId="100" fillId="0" borderId="25" applyBorder="0"/>
    <xf numFmtId="0" fontId="148" fillId="0" borderId="0" applyNumberFormat="0" applyFill="0" applyBorder="0" applyAlignment="0" applyProtection="0">
      <alignment vertical="top"/>
      <protection locked="0"/>
    </xf>
    <xf numFmtId="0" fontId="149" fillId="0" borderId="0" applyNumberFormat="0" applyFill="0" applyBorder="0" applyAlignment="0" applyProtection="0">
      <alignment vertical="top"/>
      <protection locked="0"/>
    </xf>
    <xf numFmtId="0" fontId="150" fillId="0" borderId="0" applyNumberFormat="0" applyFill="0" applyBorder="0" applyAlignment="0" applyProtection="0">
      <alignment vertical="top"/>
      <protection locked="0"/>
    </xf>
    <xf numFmtId="0" fontId="148" fillId="0" borderId="0" applyNumberFormat="0" applyFill="0" applyBorder="0" applyAlignment="0" applyProtection="0">
      <alignment vertical="top"/>
      <protection locked="0"/>
    </xf>
    <xf numFmtId="0" fontId="152" fillId="24" borderId="9" applyNumberFormat="0" applyAlignment="0" applyProtection="0"/>
    <xf numFmtId="0" fontId="153" fillId="0" borderId="26">
      <alignment horizontal="center" vertical="center" wrapText="1"/>
    </xf>
    <xf numFmtId="171" fontId="5" fillId="0" borderId="0" applyFont="0" applyFill="0" applyBorder="0" applyAlignment="0" applyProtection="0"/>
    <xf numFmtId="0" fontId="5" fillId="0" borderId="0"/>
    <xf numFmtId="2" fontId="151" fillId="0" borderId="27" applyBorder="0"/>
    <xf numFmtId="0" fontId="27" fillId="0" borderId="28">
      <alignment horizontal="centerContinuous"/>
    </xf>
    <xf numFmtId="0" fontId="27" fillId="0" borderId="28">
      <alignment horizontal="centerContinuous"/>
    </xf>
    <xf numFmtId="0" fontId="120" fillId="27" borderId="0" applyNumberFormat="0" applyFont="0" applyBorder="0" applyAlignment="0"/>
    <xf numFmtId="0" fontId="120" fillId="27" borderId="0" applyNumberFormat="0" applyFont="0" applyBorder="0" applyAlignment="0"/>
    <xf numFmtId="0" fontId="13" fillId="0" borderId="0"/>
    <xf numFmtId="0" fontId="36" fillId="0" borderId="0"/>
    <xf numFmtId="0" fontId="53" fillId="0" borderId="0"/>
    <xf numFmtId="0" fontId="36" fillId="0" borderId="0"/>
    <xf numFmtId="0" fontId="55" fillId="0" borderId="0" applyNumberFormat="0" applyFont="0" applyFill="0" applyBorder="0" applyProtection="0">
      <alignment horizontal="left" vertical="center"/>
    </xf>
    <xf numFmtId="0" fontId="13" fillId="0" borderId="0"/>
    <xf numFmtId="184" fontId="32" fillId="0" borderId="0" applyFill="0" applyBorder="0" applyAlignment="0"/>
    <xf numFmtId="180" fontId="32" fillId="0" borderId="0" applyFill="0" applyBorder="0" applyAlignment="0"/>
    <xf numFmtId="184" fontId="32" fillId="0" borderId="0" applyFill="0" applyBorder="0" applyAlignment="0"/>
    <xf numFmtId="185" fontId="32" fillId="0" borderId="0" applyFill="0" applyBorder="0" applyAlignment="0"/>
    <xf numFmtId="180" fontId="32" fillId="0" borderId="0" applyFill="0" applyBorder="0" applyAlignment="0"/>
    <xf numFmtId="0" fontId="154" fillId="0" borderId="29" applyNumberFormat="0" applyFill="0" applyAlignment="0" applyProtection="0"/>
    <xf numFmtId="179" fontId="155" fillId="0" borderId="30" applyNumberFormat="0" applyFont="0" applyFill="0" applyBorder="0">
      <alignment horizontal="center"/>
    </xf>
    <xf numFmtId="38" fontId="13" fillId="0" borderId="0" applyFont="0" applyFill="0" applyBorder="0" applyAlignment="0" applyProtection="0"/>
    <xf numFmtId="4" fontId="32" fillId="0" borderId="0" applyFont="0" applyFill="0" applyBorder="0" applyAlignment="0" applyProtection="0"/>
    <xf numFmtId="244" fontId="55" fillId="0" borderId="0" applyFont="0" applyFill="0" applyBorder="0" applyAlignment="0" applyProtection="0"/>
    <xf numFmtId="40" fontId="13" fillId="0" borderId="0" applyFont="0" applyFill="0" applyBorder="0" applyAlignment="0" applyProtection="0"/>
    <xf numFmtId="171" fontId="31" fillId="0" borderId="0" applyFont="0" applyFill="0" applyBorder="0" applyAlignment="0" applyProtection="0"/>
    <xf numFmtId="172" fontId="31" fillId="0" borderId="0" applyFont="0" applyFill="0" applyBorder="0" applyAlignment="0" applyProtection="0"/>
    <xf numFmtId="0" fontId="54" fillId="0" borderId="24"/>
    <xf numFmtId="199" fontId="23" fillId="0" borderId="30"/>
    <xf numFmtId="200" fontId="13" fillId="0" borderId="0" applyFont="0" applyFill="0" applyBorder="0" applyAlignment="0" applyProtection="0"/>
    <xf numFmtId="201" fontId="13" fillId="0" borderId="0" applyFont="0" applyFill="0" applyBorder="0" applyAlignment="0" applyProtection="0"/>
    <xf numFmtId="172" fontId="131" fillId="0" borderId="0">
      <protection locked="0"/>
    </xf>
    <xf numFmtId="202" fontId="31" fillId="0" borderId="0" applyFont="0" applyFill="0" applyBorder="0" applyAlignment="0" applyProtection="0"/>
    <xf numFmtId="203" fontId="31" fillId="0" borderId="0" applyFont="0" applyFill="0" applyBorder="0" applyAlignment="0" applyProtection="0"/>
    <xf numFmtId="0" fontId="53" fillId="0" borderId="0" applyNumberFormat="0" applyFont="0" applyFill="0" applyAlignment="0"/>
    <xf numFmtId="0" fontId="53" fillId="0" borderId="0" applyNumberFormat="0" applyFont="0" applyFill="0" applyAlignment="0"/>
    <xf numFmtId="0" fontId="94" fillId="0" borderId="0" applyNumberFormat="0" applyFill="0" applyAlignment="0"/>
    <xf numFmtId="0" fontId="94" fillId="0" borderId="0" applyNumberFormat="0" applyFill="0" applyAlignment="0"/>
    <xf numFmtId="0" fontId="53" fillId="0" borderId="0" applyNumberFormat="0" applyFont="0" applyFill="0" applyAlignment="0"/>
    <xf numFmtId="0" fontId="156" fillId="30" borderId="0" applyNumberFormat="0" applyBorder="0" applyAlignment="0" applyProtection="0"/>
    <xf numFmtId="0" fontId="45" fillId="0" borderId="1"/>
    <xf numFmtId="0" fontId="45" fillId="0" borderId="1"/>
    <xf numFmtId="0" fontId="55" fillId="0" borderId="0"/>
    <xf numFmtId="0" fontId="55" fillId="0" borderId="0"/>
    <xf numFmtId="37" fontId="56" fillId="0" borderId="0"/>
    <xf numFmtId="0" fontId="157" fillId="0" borderId="1" applyNumberFormat="0" applyFont="0" applyFill="0" applyBorder="0" applyAlignment="0">
      <alignment horizontal="center"/>
    </xf>
    <xf numFmtId="0" fontId="10" fillId="0" borderId="0"/>
    <xf numFmtId="0" fontId="31" fillId="0" borderId="0"/>
    <xf numFmtId="283" fontId="5" fillId="0" borderId="0"/>
    <xf numFmtId="283" fontId="5" fillId="0" borderId="0"/>
    <xf numFmtId="283" fontId="5" fillId="0" borderId="0"/>
    <xf numFmtId="283" fontId="5" fillId="0" borderId="0"/>
    <xf numFmtId="284" fontId="99" fillId="0" borderId="0"/>
    <xf numFmtId="284" fontId="99" fillId="0" borderId="0"/>
    <xf numFmtId="284" fontId="99" fillId="0" borderId="0"/>
    <xf numFmtId="285" fontId="5" fillId="0" borderId="0"/>
    <xf numFmtId="0" fontId="90" fillId="0" borderId="0"/>
    <xf numFmtId="0" fontId="57" fillId="0" borderId="0"/>
    <xf numFmtId="0" fontId="58" fillId="0" borderId="0"/>
    <xf numFmtId="0" fontId="57" fillId="0" borderId="0"/>
    <xf numFmtId="0" fontId="37" fillId="0" borderId="0"/>
    <xf numFmtId="0" fontId="7" fillId="0" borderId="0"/>
    <xf numFmtId="0" fontId="213" fillId="0" borderId="0"/>
    <xf numFmtId="0" fontId="92" fillId="0" borderId="0"/>
    <xf numFmtId="0" fontId="5" fillId="0" borderId="0"/>
    <xf numFmtId="0" fontId="37" fillId="0" borderId="0"/>
    <xf numFmtId="0" fontId="45" fillId="0" borderId="0"/>
    <xf numFmtId="0" fontId="31" fillId="0" borderId="0"/>
    <xf numFmtId="0" fontId="92" fillId="0" borderId="0"/>
    <xf numFmtId="0" fontId="215" fillId="0" borderId="0"/>
    <xf numFmtId="0" fontId="215" fillId="0" borderId="0"/>
    <xf numFmtId="0" fontId="216" fillId="0" borderId="0"/>
    <xf numFmtId="0" fontId="5" fillId="0" borderId="0"/>
    <xf numFmtId="0" fontId="58" fillId="0" borderId="0"/>
    <xf numFmtId="0" fontId="58" fillId="0" borderId="0"/>
    <xf numFmtId="0" fontId="7" fillId="0" borderId="0"/>
    <xf numFmtId="0" fontId="37" fillId="0" borderId="0"/>
    <xf numFmtId="0" fontId="37" fillId="0" borderId="0"/>
    <xf numFmtId="0" fontId="37" fillId="0" borderId="0"/>
    <xf numFmtId="0" fontId="213" fillId="0" borderId="0"/>
    <xf numFmtId="0" fontId="217" fillId="0" borderId="0"/>
    <xf numFmtId="0" fontId="216" fillId="0" borderId="0"/>
    <xf numFmtId="0" fontId="5" fillId="0" borderId="0"/>
    <xf numFmtId="0" fontId="215" fillId="0" borderId="0"/>
    <xf numFmtId="0" fontId="31" fillId="0" borderId="0"/>
    <xf numFmtId="0" fontId="213" fillId="0" borderId="0"/>
    <xf numFmtId="0" fontId="59" fillId="0" borderId="0"/>
    <xf numFmtId="0" fontId="92" fillId="0" borderId="0"/>
    <xf numFmtId="0" fontId="59" fillId="0" borderId="0" applyProtection="0"/>
    <xf numFmtId="0" fontId="59" fillId="0" borderId="0" applyProtection="0"/>
    <xf numFmtId="0" fontId="59" fillId="0" borderId="0" applyProtection="0"/>
    <xf numFmtId="0" fontId="59" fillId="0" borderId="0" applyProtection="0"/>
    <xf numFmtId="0" fontId="59" fillId="0" borderId="0" applyProtection="0"/>
    <xf numFmtId="0" fontId="60" fillId="0" borderId="0"/>
    <xf numFmtId="0" fontId="212" fillId="0" borderId="0"/>
    <xf numFmtId="0" fontId="7" fillId="0" borderId="0"/>
    <xf numFmtId="0" fontId="5" fillId="0" borderId="0"/>
    <xf numFmtId="0" fontId="5" fillId="0" borderId="0"/>
    <xf numFmtId="0" fontId="37" fillId="0" borderId="0"/>
    <xf numFmtId="0" fontId="86" fillId="0" borderId="0"/>
    <xf numFmtId="0" fontId="36" fillId="0" borderId="0"/>
    <xf numFmtId="0" fontId="36" fillId="0" borderId="0"/>
    <xf numFmtId="0" fontId="59" fillId="0" borderId="0"/>
    <xf numFmtId="0" fontId="213" fillId="0" borderId="0"/>
    <xf numFmtId="0" fontId="7" fillId="0" borderId="0"/>
    <xf numFmtId="0" fontId="37" fillId="0" borderId="0"/>
    <xf numFmtId="0" fontId="218" fillId="0" borderId="0"/>
    <xf numFmtId="0" fontId="7" fillId="0" borderId="0"/>
    <xf numFmtId="0" fontId="39" fillId="0" borderId="0"/>
    <xf numFmtId="0" fontId="7" fillId="0" borderId="0"/>
    <xf numFmtId="0" fontId="7" fillId="0" borderId="0"/>
    <xf numFmtId="0" fontId="86" fillId="0" borderId="0"/>
    <xf numFmtId="0" fontId="219" fillId="0" borderId="0"/>
    <xf numFmtId="0" fontId="86" fillId="0" borderId="0"/>
    <xf numFmtId="0" fontId="213" fillId="0" borderId="0"/>
    <xf numFmtId="0" fontId="92" fillId="0" borderId="0"/>
    <xf numFmtId="0" fontId="158" fillId="0" borderId="0" applyNumberFormat="0" applyFill="0" applyBorder="0" applyProtection="0">
      <alignment vertical="top"/>
    </xf>
    <xf numFmtId="0" fontId="37" fillId="0" borderId="0"/>
    <xf numFmtId="0" fontId="5" fillId="0" borderId="0"/>
    <xf numFmtId="0" fontId="36" fillId="0" borderId="0"/>
    <xf numFmtId="0" fontId="213" fillId="0" borderId="0"/>
    <xf numFmtId="0" fontId="213" fillId="0" borderId="0"/>
    <xf numFmtId="0" fontId="213" fillId="0" borderId="0"/>
    <xf numFmtId="0" fontId="7" fillId="0" borderId="0"/>
    <xf numFmtId="0" fontId="5" fillId="0" borderId="0"/>
    <xf numFmtId="0" fontId="18" fillId="0" borderId="0" applyFont="0"/>
    <xf numFmtId="0" fontId="159" fillId="0" borderId="0">
      <alignment horizontal="left" vertical="top"/>
    </xf>
    <xf numFmtId="0" fontId="32" fillId="27" borderId="0"/>
    <xf numFmtId="0" fontId="41" fillId="0" borderId="0"/>
    <xf numFmtId="0" fontId="7" fillId="26" borderId="20" applyNumberFormat="0" applyFont="0" applyAlignment="0" applyProtection="0"/>
    <xf numFmtId="286" fontId="16" fillId="0" borderId="0" applyFont="0" applyFill="0" applyBorder="0" applyProtection="0">
      <alignment vertical="top" wrapText="1"/>
    </xf>
    <xf numFmtId="0" fontId="23" fillId="0" borderId="4" applyNumberFormat="0" applyAlignment="0">
      <alignment horizontal="center"/>
    </xf>
    <xf numFmtId="0" fontId="23" fillId="0" borderId="4" applyNumberFormat="0" applyAlignment="0">
      <alignment horizontal="center"/>
    </xf>
    <xf numFmtId="0" fontId="112" fillId="19" borderId="0" applyNumberFormat="0" applyBorder="0" applyAlignment="0" applyProtection="0"/>
    <xf numFmtId="0" fontId="112" fillId="20" borderId="0" applyNumberFormat="0" applyBorder="0" applyAlignment="0" applyProtection="0"/>
    <xf numFmtId="0" fontId="112" fillId="21" borderId="0" applyNumberFormat="0" applyBorder="0" applyAlignment="0" applyProtection="0"/>
    <xf numFmtId="0" fontId="112" fillId="16" borderId="0" applyNumberFormat="0" applyBorder="0" applyAlignment="0" applyProtection="0"/>
    <xf numFmtId="0" fontId="112" fillId="17" borderId="0" applyNumberFormat="0" applyBorder="0" applyAlignment="0" applyProtection="0"/>
    <xf numFmtId="0" fontId="112" fillId="22" borderId="0" applyNumberFormat="0" applyBorder="0" applyAlignment="0" applyProtection="0"/>
    <xf numFmtId="0" fontId="23" fillId="0" borderId="0"/>
    <xf numFmtId="172" fontId="61" fillId="0" borderId="0" applyFont="0" applyFill="0" applyBorder="0" applyAlignment="0" applyProtection="0"/>
    <xf numFmtId="171" fontId="61"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4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7" fillId="0" borderId="0" applyFont="0" applyFill="0" applyBorder="0" applyAlignment="0" applyProtection="0"/>
    <xf numFmtId="0" fontId="55" fillId="0" borderId="0"/>
    <xf numFmtId="0" fontId="161" fillId="23" borderId="14" applyNumberFormat="0" applyAlignment="0" applyProtection="0"/>
    <xf numFmtId="0" fontId="160" fillId="0" borderId="29" applyNumberFormat="0" applyFill="0" applyAlignment="0" applyProtection="0"/>
    <xf numFmtId="167" fontId="162" fillId="0" borderId="4" applyFont="0" applyBorder="0" applyAlignment="0"/>
    <xf numFmtId="0" fontId="163" fillId="27" borderId="0"/>
    <xf numFmtId="164" fontId="7" fillId="0" borderId="0" applyFont="0" applyFill="0" applyBorder="0" applyAlignment="0" applyProtection="0"/>
    <xf numFmtId="164" fontId="7" fillId="0" borderId="0" applyFont="0" applyFill="0" applyBorder="0" applyAlignment="0" applyProtection="0"/>
    <xf numFmtId="14" fontId="27" fillId="0" borderId="0">
      <alignment horizontal="center" wrapText="1"/>
      <protection locked="0"/>
    </xf>
    <xf numFmtId="14" fontId="27" fillId="0" borderId="0">
      <alignment horizontal="center" wrapText="1"/>
      <protection locked="0"/>
    </xf>
    <xf numFmtId="9" fontId="199" fillId="0" borderId="0" applyFont="0" applyFill="0" applyBorder="0" applyAlignment="0" applyProtection="0"/>
    <xf numFmtId="183" fontId="31" fillId="0" borderId="0" applyFont="0" applyFill="0" applyBorder="0" applyAlignment="0" applyProtection="0"/>
    <xf numFmtId="183" fontId="7" fillId="0" borderId="0" applyFont="0" applyFill="0" applyBorder="0" applyAlignment="0" applyProtection="0"/>
    <xf numFmtId="204" fontId="31" fillId="0" borderId="0" applyFont="0" applyFill="0" applyBorder="0" applyAlignment="0" applyProtection="0"/>
    <xf numFmtId="204" fontId="7" fillId="0" borderId="0" applyFont="0" applyFill="0" applyBorder="0" applyAlignment="0" applyProtection="0"/>
    <xf numFmtId="10" fontId="31" fillId="0" borderId="0" applyFont="0" applyFill="0" applyBorder="0" applyAlignment="0" applyProtection="0"/>
    <xf numFmtId="10" fontId="7" fillId="0" borderId="0" applyFont="0" applyFill="0" applyBorder="0" applyAlignment="0" applyProtection="0"/>
    <xf numFmtId="9" fontId="7" fillId="0" borderId="0" applyFont="0" applyFill="0" applyBorder="0" applyAlignment="0" applyProtection="0"/>
    <xf numFmtId="9" fontId="38" fillId="0" borderId="0" applyFont="0" applyFill="0" applyBorder="0" applyAlignment="0" applyProtection="0"/>
    <xf numFmtId="9" fontId="91" fillId="0" borderId="0" applyFont="0" applyFill="0" applyBorder="0" applyAlignment="0" applyProtection="0"/>
    <xf numFmtId="9" fontId="92" fillId="0" borderId="0" applyFont="0" applyFill="0" applyBorder="0" applyAlignment="0" applyProtection="0"/>
    <xf numFmtId="9" fontId="13" fillId="0" borderId="31" applyNumberFormat="0" applyBorder="0"/>
    <xf numFmtId="167" fontId="131" fillId="0" borderId="0">
      <protection locked="0"/>
    </xf>
    <xf numFmtId="184" fontId="32" fillId="0" borderId="0" applyFill="0" applyBorder="0" applyAlignment="0"/>
    <xf numFmtId="180" fontId="32" fillId="0" borderId="0" applyFill="0" applyBorder="0" applyAlignment="0"/>
    <xf numFmtId="184" fontId="32" fillId="0" borderId="0" applyFill="0" applyBorder="0" applyAlignment="0"/>
    <xf numFmtId="185" fontId="32" fillId="0" borderId="0" applyFill="0" applyBorder="0" applyAlignment="0"/>
    <xf numFmtId="180" fontId="32" fillId="0" borderId="0" applyFill="0" applyBorder="0" applyAlignment="0"/>
    <xf numFmtId="0" fontId="63" fillId="0" borderId="0"/>
    <xf numFmtId="0" fontId="13" fillId="0" borderId="0" applyNumberFormat="0" applyFont="0" applyFill="0" applyBorder="0" applyAlignment="0" applyProtection="0">
      <alignment horizontal="left"/>
    </xf>
    <xf numFmtId="0" fontId="13" fillId="0" borderId="0" applyNumberFormat="0" applyFont="0" applyFill="0" applyBorder="0" applyAlignment="0" applyProtection="0">
      <alignment horizontal="left"/>
    </xf>
    <xf numFmtId="0" fontId="64" fillId="0" borderId="24">
      <alignment horizontal="center"/>
    </xf>
    <xf numFmtId="0" fontId="7" fillId="0" borderId="0"/>
    <xf numFmtId="0" fontId="65" fillId="31" borderId="0" applyNumberFormat="0" applyFont="0" applyBorder="0" applyAlignment="0">
      <alignment horizontal="center"/>
    </xf>
    <xf numFmtId="14" fontId="66" fillId="0" borderId="0" applyNumberFormat="0" applyFill="0" applyBorder="0" applyAlignment="0" applyProtection="0">
      <alignment horizontal="left"/>
    </xf>
    <xf numFmtId="0" fontId="149" fillId="0" borderId="0" applyNumberFormat="0" applyFill="0" applyBorder="0" applyAlignment="0" applyProtection="0">
      <alignment vertical="top"/>
      <protection locked="0"/>
    </xf>
    <xf numFmtId="0" fontId="23" fillId="0" borderId="0"/>
    <xf numFmtId="174" fontId="12" fillId="0" borderId="0" applyFon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4" fontId="67" fillId="32" borderId="32" applyNumberFormat="0" applyProtection="0">
      <alignment vertical="center"/>
    </xf>
    <xf numFmtId="4" fontId="68" fillId="32" borderId="32" applyNumberFormat="0" applyProtection="0">
      <alignment vertical="center"/>
    </xf>
    <xf numFmtId="4" fontId="69" fillId="32" borderId="32" applyNumberFormat="0" applyProtection="0">
      <alignment horizontal="left" vertical="center" indent="1"/>
    </xf>
    <xf numFmtId="4" fontId="69" fillId="33" borderId="0" applyNumberFormat="0" applyProtection="0">
      <alignment horizontal="left" vertical="center" indent="1"/>
    </xf>
    <xf numFmtId="4" fontId="69" fillId="34" borderId="32" applyNumberFormat="0" applyProtection="0">
      <alignment horizontal="right" vertical="center"/>
    </xf>
    <xf numFmtId="4" fontId="69" fillId="35" borderId="32" applyNumberFormat="0" applyProtection="0">
      <alignment horizontal="right" vertical="center"/>
    </xf>
    <xf numFmtId="4" fontId="69" fillId="36" borderId="32" applyNumberFormat="0" applyProtection="0">
      <alignment horizontal="right" vertical="center"/>
    </xf>
    <xf numFmtId="4" fontId="69" fillId="37" borderId="32" applyNumberFormat="0" applyProtection="0">
      <alignment horizontal="right" vertical="center"/>
    </xf>
    <xf numFmtId="4" fontId="69" fillId="38" borderId="32" applyNumberFormat="0" applyProtection="0">
      <alignment horizontal="right" vertical="center"/>
    </xf>
    <xf numFmtId="4" fontId="69" fillId="39" borderId="32" applyNumberFormat="0" applyProtection="0">
      <alignment horizontal="right" vertical="center"/>
    </xf>
    <xf numFmtId="4" fontId="69" fillId="40" borderId="32" applyNumberFormat="0" applyProtection="0">
      <alignment horizontal="right" vertical="center"/>
    </xf>
    <xf numFmtId="4" fontId="69" fillId="41" borderId="32" applyNumberFormat="0" applyProtection="0">
      <alignment horizontal="right" vertical="center"/>
    </xf>
    <xf numFmtId="4" fontId="69" fillId="42" borderId="32" applyNumberFormat="0" applyProtection="0">
      <alignment horizontal="right" vertical="center"/>
    </xf>
    <xf numFmtId="4" fontId="67" fillId="43" borderId="33" applyNumberFormat="0" applyProtection="0">
      <alignment horizontal="left" vertical="center" indent="1"/>
    </xf>
    <xf numFmtId="4" fontId="67" fillId="44" borderId="0" applyNumberFormat="0" applyProtection="0">
      <alignment horizontal="left" vertical="center" indent="1"/>
    </xf>
    <xf numFmtId="4" fontId="67" fillId="33" borderId="0" applyNumberFormat="0" applyProtection="0">
      <alignment horizontal="left" vertical="center" indent="1"/>
    </xf>
    <xf numFmtId="4" fontId="69" fillId="44" borderId="32" applyNumberFormat="0" applyProtection="0">
      <alignment horizontal="right" vertical="center"/>
    </xf>
    <xf numFmtId="4" fontId="14" fillId="44" borderId="0" applyNumberFormat="0" applyProtection="0">
      <alignment horizontal="left" vertical="center" indent="1"/>
    </xf>
    <xf numFmtId="4" fontId="14" fillId="44" borderId="0" applyNumberFormat="0" applyProtection="0">
      <alignment horizontal="left" vertical="center" indent="1"/>
    </xf>
    <xf numFmtId="4" fontId="14" fillId="33" borderId="0" applyNumberFormat="0" applyProtection="0">
      <alignment horizontal="left" vertical="center" indent="1"/>
    </xf>
    <xf numFmtId="4" fontId="14" fillId="33" borderId="0" applyNumberFormat="0" applyProtection="0">
      <alignment horizontal="left" vertical="center" indent="1"/>
    </xf>
    <xf numFmtId="4" fontId="69" fillId="45" borderId="32" applyNumberFormat="0" applyProtection="0">
      <alignment vertical="center"/>
    </xf>
    <xf numFmtId="4" fontId="70" fillId="45" borderId="32" applyNumberFormat="0" applyProtection="0">
      <alignment vertical="center"/>
    </xf>
    <xf numFmtId="4" fontId="67" fillId="44" borderId="34" applyNumberFormat="0" applyProtection="0">
      <alignment horizontal="left" vertical="center" indent="1"/>
    </xf>
    <xf numFmtId="4" fontId="69" fillId="45" borderId="32" applyNumberFormat="0" applyProtection="0">
      <alignment horizontal="right" vertical="center"/>
    </xf>
    <xf numFmtId="4" fontId="70" fillId="45" borderId="32" applyNumberFormat="0" applyProtection="0">
      <alignment horizontal="right" vertical="center"/>
    </xf>
    <xf numFmtId="4" fontId="67" fillId="44" borderId="32" applyNumberFormat="0" applyProtection="0">
      <alignment horizontal="left" vertical="center" indent="1"/>
    </xf>
    <xf numFmtId="4" fontId="71" fillId="29" borderId="34" applyNumberFormat="0" applyProtection="0">
      <alignment horizontal="left" vertical="center" indent="1"/>
    </xf>
    <xf numFmtId="4" fontId="72" fillId="45" borderId="32" applyNumberFormat="0" applyProtection="0">
      <alignment horizontal="right" vertical="center"/>
    </xf>
    <xf numFmtId="287" fontId="164" fillId="0" borderId="0" applyFont="0" applyFill="0" applyBorder="0" applyAlignment="0" applyProtection="0"/>
    <xf numFmtId="0" fontId="65" fillId="1" borderId="23" applyNumberFormat="0" applyFont="0" applyAlignment="0">
      <alignment horizontal="center"/>
    </xf>
    <xf numFmtId="4" fontId="7" fillId="0" borderId="12" applyBorder="0"/>
    <xf numFmtId="2" fontId="7" fillId="0" borderId="12"/>
    <xf numFmtId="288" fontId="7" fillId="0" borderId="0"/>
    <xf numFmtId="3" fontId="4" fillId="0" borderId="0"/>
    <xf numFmtId="0" fontId="73" fillId="0" borderId="0" applyNumberFormat="0" applyFill="0" applyBorder="0" applyAlignment="0">
      <alignment horizontal="center"/>
    </xf>
    <xf numFmtId="0" fontId="74" fillId="0" borderId="35" applyNumberFormat="0" applyFill="0" applyBorder="0" applyAlignment="0" applyProtection="0"/>
    <xf numFmtId="1" fontId="7" fillId="0" borderId="0"/>
    <xf numFmtId="1" fontId="7" fillId="0" borderId="0"/>
    <xf numFmtId="167" fontId="165" fillId="0" borderId="0" applyNumberFormat="0" applyBorder="0" applyAlignment="0">
      <alignment horizontal="centerContinuous"/>
    </xf>
    <xf numFmtId="0" fontId="5" fillId="0" borderId="12">
      <alignment horizontal="center"/>
    </xf>
    <xf numFmtId="0" fontId="14" fillId="0" borderId="0">
      <alignment vertical="top"/>
    </xf>
    <xf numFmtId="167" fontId="34" fillId="0" borderId="0" applyFont="0" applyFill="0" applyBorder="0" applyAlignment="0" applyProtection="0"/>
    <xf numFmtId="167" fontId="34" fillId="0" borderId="0" applyFont="0" applyFill="0" applyBorder="0" applyAlignment="0" applyProtection="0"/>
    <xf numFmtId="245" fontId="12" fillId="0" borderId="0" applyFont="0" applyFill="0" applyBorder="0" applyAlignment="0" applyProtection="0"/>
    <xf numFmtId="247" fontId="12" fillId="0" borderId="0" applyFont="0" applyFill="0" applyBorder="0" applyAlignment="0" applyProtection="0"/>
    <xf numFmtId="247" fontId="12" fillId="0" borderId="0" applyFont="0" applyFill="0" applyBorder="0" applyAlignment="0" applyProtection="0"/>
    <xf numFmtId="174" fontId="12" fillId="0" borderId="0" applyFont="0" applyFill="0" applyBorder="0" applyAlignment="0" applyProtection="0"/>
    <xf numFmtId="250" fontId="12" fillId="0" borderId="0" applyFont="0" applyFill="0" applyBorder="0" applyAlignment="0" applyProtection="0"/>
    <xf numFmtId="164" fontId="12" fillId="0" borderId="0" applyFont="0" applyFill="0" applyBorder="0" applyAlignment="0" applyProtection="0"/>
    <xf numFmtId="245" fontId="12" fillId="0" borderId="0" applyFont="0" applyFill="0" applyBorder="0" applyAlignment="0" applyProtection="0"/>
    <xf numFmtId="251" fontId="4" fillId="0" borderId="0" applyFont="0" applyFill="0" applyBorder="0" applyAlignment="0" applyProtection="0"/>
    <xf numFmtId="174" fontId="12" fillId="0" borderId="0" applyFont="0" applyFill="0" applyBorder="0" applyAlignment="0" applyProtection="0"/>
    <xf numFmtId="245" fontId="12"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245" fontId="12" fillId="0" borderId="0" applyFont="0" applyFill="0" applyBorder="0" applyAlignment="0" applyProtection="0"/>
    <xf numFmtId="245" fontId="12" fillId="0" borderId="0" applyFont="0" applyFill="0" applyBorder="0" applyAlignment="0" applyProtection="0"/>
    <xf numFmtId="174" fontId="12" fillId="0" borderId="0" applyFont="0" applyFill="0" applyBorder="0" applyAlignment="0" applyProtection="0"/>
    <xf numFmtId="245" fontId="12" fillId="0" borderId="0" applyFont="0" applyFill="0" applyBorder="0" applyAlignment="0" applyProtection="0"/>
    <xf numFmtId="174" fontId="12" fillId="0" borderId="0" applyFont="0" applyFill="0" applyBorder="0" applyAlignment="0" applyProtection="0"/>
    <xf numFmtId="216" fontId="100" fillId="0" borderId="0" applyFont="0" applyFill="0" applyBorder="0" applyAlignment="0" applyProtection="0"/>
    <xf numFmtId="252" fontId="12" fillId="0" borderId="0" applyFont="0" applyFill="0" applyBorder="0" applyAlignment="0" applyProtection="0"/>
    <xf numFmtId="252" fontId="12" fillId="0" borderId="0" applyFont="0" applyFill="0" applyBorder="0" applyAlignment="0" applyProtection="0"/>
    <xf numFmtId="253" fontId="7" fillId="0" borderId="0" applyFont="0" applyFill="0" applyBorder="0" applyAlignment="0" applyProtection="0"/>
    <xf numFmtId="253" fontId="7" fillId="0" borderId="0" applyFont="0" applyFill="0" applyBorder="0" applyAlignment="0" applyProtection="0"/>
    <xf numFmtId="184" fontId="100"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252" fontId="12" fillId="0" borderId="0" applyFont="0" applyFill="0" applyBorder="0" applyAlignment="0" applyProtection="0"/>
    <xf numFmtId="216" fontId="100" fillId="0" borderId="0" applyFont="0" applyFill="0" applyBorder="0" applyAlignment="0" applyProtection="0"/>
    <xf numFmtId="254" fontId="45" fillId="0" borderId="0" applyFont="0" applyFill="0" applyBorder="0" applyAlignment="0" applyProtection="0"/>
    <xf numFmtId="245"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245" fontId="12" fillId="0" borderId="0" applyFont="0" applyFill="0" applyBorder="0" applyAlignment="0" applyProtection="0"/>
    <xf numFmtId="245" fontId="12" fillId="0" borderId="0" applyFont="0" applyFill="0" applyBorder="0" applyAlignment="0" applyProtection="0"/>
    <xf numFmtId="164" fontId="12" fillId="0" borderId="0" applyFont="0" applyFill="0" applyBorder="0" applyAlignment="0" applyProtection="0"/>
    <xf numFmtId="245" fontId="12"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221" fontId="12" fillId="0" borderId="0" applyFont="0" applyFill="0" applyBorder="0" applyAlignment="0" applyProtection="0"/>
    <xf numFmtId="208" fontId="4" fillId="0" borderId="0" applyFont="0" applyFill="0" applyBorder="0" applyAlignment="0" applyProtection="0"/>
    <xf numFmtId="224" fontId="12" fillId="0" borderId="0" applyFont="0" applyFill="0" applyBorder="0" applyAlignment="0" applyProtection="0"/>
    <xf numFmtId="225" fontId="12" fillId="0" borderId="0" applyFont="0" applyFill="0" applyBorder="0" applyAlignment="0" applyProtection="0"/>
    <xf numFmtId="224" fontId="12" fillId="0" borderId="0" applyFont="0" applyFill="0" applyBorder="0" applyAlignment="0" applyProtection="0"/>
    <xf numFmtId="216" fontId="99" fillId="0" borderId="0" applyFont="0" applyFill="0" applyBorder="0" applyAlignment="0" applyProtection="0"/>
    <xf numFmtId="216" fontId="12" fillId="0" borderId="0" applyFont="0" applyFill="0" applyBorder="0" applyAlignment="0" applyProtection="0"/>
    <xf numFmtId="226" fontId="4" fillId="0" borderId="0" applyFont="0" applyFill="0" applyBorder="0" applyAlignment="0" applyProtection="0"/>
    <xf numFmtId="216" fontId="12" fillId="0" borderId="0" applyFont="0" applyFill="0" applyBorder="0" applyAlignment="0" applyProtection="0"/>
    <xf numFmtId="224" fontId="12"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216" fontId="99" fillId="0" borderId="0" applyFont="0" applyFill="0" applyBorder="0" applyAlignment="0" applyProtection="0"/>
    <xf numFmtId="237" fontId="12" fillId="0" borderId="0" applyFont="0" applyFill="0" applyBorder="0" applyAlignment="0" applyProtection="0"/>
    <xf numFmtId="208" fontId="4" fillId="0" borderId="0" applyFont="0" applyFill="0" applyBorder="0" applyAlignment="0" applyProtection="0"/>
    <xf numFmtId="238" fontId="100" fillId="0" borderId="0" applyFont="0" applyFill="0" applyBorder="0" applyAlignment="0" applyProtection="0"/>
    <xf numFmtId="239" fontId="12" fillId="0" borderId="0" applyFont="0" applyFill="0" applyBorder="0" applyAlignment="0" applyProtection="0"/>
    <xf numFmtId="239" fontId="12" fillId="0" borderId="0" applyFont="0" applyFill="0" applyBorder="0" applyAlignment="0" applyProtection="0"/>
    <xf numFmtId="240" fontId="100" fillId="0" borderId="0" applyFont="0" applyFill="0" applyBorder="0" applyAlignment="0" applyProtection="0"/>
    <xf numFmtId="239" fontId="12" fillId="0" borderId="0" applyFont="0" applyFill="0" applyBorder="0" applyAlignment="0" applyProtection="0"/>
    <xf numFmtId="238" fontId="100" fillId="0" borderId="0" applyFont="0" applyFill="0" applyBorder="0" applyAlignment="0" applyProtection="0"/>
    <xf numFmtId="239" fontId="12"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208" fontId="12" fillId="0" borderId="0" applyFont="0" applyFill="0" applyBorder="0" applyAlignment="0" applyProtection="0"/>
    <xf numFmtId="208" fontId="12" fillId="0" borderId="0" applyFont="0" applyFill="0" applyBorder="0" applyAlignment="0" applyProtection="0"/>
    <xf numFmtId="240" fontId="100" fillId="0" borderId="0" applyFont="0" applyFill="0" applyBorder="0" applyAlignment="0" applyProtection="0"/>
    <xf numFmtId="241" fontId="12" fillId="0" borderId="0" applyFont="0" applyFill="0" applyBorder="0" applyAlignment="0" applyProtection="0"/>
    <xf numFmtId="241" fontId="12" fillId="0" borderId="0" applyFont="0" applyFill="0" applyBorder="0" applyAlignment="0" applyProtection="0"/>
    <xf numFmtId="242" fontId="7" fillId="0" borderId="0" applyFont="0" applyFill="0" applyBorder="0" applyAlignment="0" applyProtection="0"/>
    <xf numFmtId="242" fontId="7" fillId="0" borderId="0" applyFont="0" applyFill="0" applyBorder="0" applyAlignment="0" applyProtection="0"/>
    <xf numFmtId="171" fontId="100" fillId="0" borderId="0" applyFont="0" applyFill="0" applyBorder="0" applyAlignment="0" applyProtection="0"/>
    <xf numFmtId="241" fontId="12" fillId="0" borderId="0" applyFont="0" applyFill="0" applyBorder="0" applyAlignment="0" applyProtection="0"/>
    <xf numFmtId="240" fontId="100" fillId="0" borderId="0" applyFont="0" applyFill="0" applyBorder="0" applyAlignment="0" applyProtection="0"/>
    <xf numFmtId="243" fontId="45" fillId="0" borderId="0" applyFont="0" applyFill="0" applyBorder="0" applyAlignment="0" applyProtection="0"/>
    <xf numFmtId="164" fontId="12" fillId="0" borderId="0" applyFont="0" applyFill="0" applyBorder="0" applyAlignment="0" applyProtection="0"/>
    <xf numFmtId="244" fontId="12" fillId="0" borderId="0" applyFont="0" applyFill="0" applyBorder="0" applyAlignment="0" applyProtection="0"/>
    <xf numFmtId="216" fontId="12" fillId="0" borderId="0" applyFont="0" applyFill="0" applyBorder="0" applyAlignment="0" applyProtection="0"/>
    <xf numFmtId="0" fontId="23" fillId="0" borderId="0"/>
    <xf numFmtId="289" fontId="45"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67" fontId="34"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216" fontId="12" fillId="0" borderId="0" applyFont="0" applyFill="0" applyBorder="0" applyAlignment="0" applyProtection="0"/>
    <xf numFmtId="239" fontId="12" fillId="0" borderId="0" applyFont="0" applyFill="0" applyBorder="0" applyAlignment="0" applyProtection="0"/>
    <xf numFmtId="208" fontId="4" fillId="0" borderId="0" applyFont="0" applyFill="0" applyBorder="0" applyAlignment="0" applyProtection="0"/>
    <xf numFmtId="208" fontId="12" fillId="0" borderId="0" applyFont="0" applyFill="0" applyBorder="0" applyAlignment="0" applyProtection="0"/>
    <xf numFmtId="0" fontId="23" fillId="0" borderId="0"/>
    <xf numFmtId="289" fontId="45" fillId="0" borderId="0" applyFont="0" applyFill="0" applyBorder="0" applyAlignment="0" applyProtection="0"/>
    <xf numFmtId="174" fontId="12" fillId="0" borderId="0" applyFont="0" applyFill="0" applyBorder="0" applyAlignment="0" applyProtection="0"/>
    <xf numFmtId="164" fontId="12" fillId="0" borderId="0" applyFont="0" applyFill="0" applyBorder="0" applyAlignment="0" applyProtection="0"/>
    <xf numFmtId="174" fontId="12" fillId="0" borderId="0" applyFont="0" applyFill="0" applyBorder="0" applyAlignment="0" applyProtection="0"/>
    <xf numFmtId="245" fontId="12" fillId="0" borderId="0" applyFont="0" applyFill="0" applyBorder="0" applyAlignment="0" applyProtection="0"/>
    <xf numFmtId="245" fontId="12" fillId="0" borderId="0" applyFont="0" applyFill="0" applyBorder="0" applyAlignment="0" applyProtection="0"/>
    <xf numFmtId="245" fontId="12" fillId="0" borderId="0" applyFont="0" applyFill="0" applyBorder="0" applyAlignment="0" applyProtection="0"/>
    <xf numFmtId="247" fontId="12" fillId="0" borderId="0" applyFont="0" applyFill="0" applyBorder="0" applyAlignment="0" applyProtection="0"/>
    <xf numFmtId="174" fontId="12" fillId="0" borderId="0" applyFont="0" applyFill="0" applyBorder="0" applyAlignment="0" applyProtection="0"/>
    <xf numFmtId="250" fontId="12" fillId="0" borderId="0" applyFont="0" applyFill="0" applyBorder="0" applyAlignment="0" applyProtection="0"/>
    <xf numFmtId="164" fontId="12" fillId="0" borderId="0" applyFont="0" applyFill="0" applyBorder="0" applyAlignment="0" applyProtection="0"/>
    <xf numFmtId="245" fontId="12" fillId="0" borderId="0" applyFont="0" applyFill="0" applyBorder="0" applyAlignment="0" applyProtection="0"/>
    <xf numFmtId="173" fontId="12" fillId="0" borderId="0" applyFont="0" applyFill="0" applyBorder="0" applyAlignment="0" applyProtection="0"/>
    <xf numFmtId="251" fontId="4" fillId="0" borderId="0" applyFont="0" applyFill="0" applyBorder="0" applyAlignment="0" applyProtection="0"/>
    <xf numFmtId="174" fontId="12" fillId="0" borderId="0" applyFont="0" applyFill="0" applyBorder="0" applyAlignment="0" applyProtection="0"/>
    <xf numFmtId="245" fontId="12" fillId="0" borderId="0" applyFont="0" applyFill="0" applyBorder="0" applyAlignment="0" applyProtection="0"/>
    <xf numFmtId="245" fontId="12" fillId="0" borderId="0" applyFont="0" applyFill="0" applyBorder="0" applyAlignment="0" applyProtection="0"/>
    <xf numFmtId="245" fontId="12" fillId="0" borderId="0" applyFont="0" applyFill="0" applyBorder="0" applyAlignment="0" applyProtection="0"/>
    <xf numFmtId="174" fontId="12" fillId="0" borderId="0" applyFont="0" applyFill="0" applyBorder="0" applyAlignment="0" applyProtection="0"/>
    <xf numFmtId="245" fontId="12" fillId="0" borderId="0" applyFont="0" applyFill="0" applyBorder="0" applyAlignment="0" applyProtection="0"/>
    <xf numFmtId="174" fontId="12" fillId="0" borderId="0" applyFont="0" applyFill="0" applyBorder="0" applyAlignment="0" applyProtection="0"/>
    <xf numFmtId="216" fontId="100" fillId="0" borderId="0" applyFont="0" applyFill="0" applyBorder="0" applyAlignment="0" applyProtection="0"/>
    <xf numFmtId="252" fontId="12" fillId="0" borderId="0" applyFont="0" applyFill="0" applyBorder="0" applyAlignment="0" applyProtection="0"/>
    <xf numFmtId="173" fontId="12" fillId="0" borderId="0" applyFont="0" applyFill="0" applyBorder="0" applyAlignment="0" applyProtection="0"/>
    <xf numFmtId="252" fontId="12" fillId="0" borderId="0" applyFont="0" applyFill="0" applyBorder="0" applyAlignment="0" applyProtection="0"/>
    <xf numFmtId="253" fontId="7" fillId="0" borderId="0" applyFont="0" applyFill="0" applyBorder="0" applyAlignment="0" applyProtection="0"/>
    <xf numFmtId="253" fontId="7" fillId="0" borderId="0" applyFont="0" applyFill="0" applyBorder="0" applyAlignment="0" applyProtection="0"/>
    <xf numFmtId="184" fontId="100" fillId="0" borderId="0" applyFont="0" applyFill="0" applyBorder="0" applyAlignment="0" applyProtection="0"/>
    <xf numFmtId="252" fontId="12" fillId="0" borderId="0" applyFont="0" applyFill="0" applyBorder="0" applyAlignment="0" applyProtection="0"/>
    <xf numFmtId="216" fontId="100" fillId="0" borderId="0" applyFont="0" applyFill="0" applyBorder="0" applyAlignment="0" applyProtection="0"/>
    <xf numFmtId="254" fontId="45" fillId="0" borderId="0" applyFont="0" applyFill="0" applyBorder="0" applyAlignment="0" applyProtection="0"/>
    <xf numFmtId="245"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245" fontId="12" fillId="0" borderId="0" applyFont="0" applyFill="0" applyBorder="0" applyAlignment="0" applyProtection="0"/>
    <xf numFmtId="173" fontId="12" fillId="0" borderId="0" applyFont="0" applyFill="0" applyBorder="0" applyAlignment="0" applyProtection="0"/>
    <xf numFmtId="245" fontId="12" fillId="0" borderId="0" applyFont="0" applyFill="0" applyBorder="0" applyAlignment="0" applyProtection="0"/>
    <xf numFmtId="164" fontId="12" fillId="0" borderId="0" applyFont="0" applyFill="0" applyBorder="0" applyAlignment="0" applyProtection="0"/>
    <xf numFmtId="245" fontId="12"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7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77" fontId="12" fillId="0" borderId="0" applyFont="0" applyFill="0" applyBorder="0" applyAlignment="0" applyProtection="0"/>
    <xf numFmtId="245" fontId="12" fillId="0" borderId="0" applyFont="0" applyFill="0" applyBorder="0" applyAlignment="0" applyProtection="0"/>
    <xf numFmtId="174" fontId="12" fillId="0" borderId="0" applyFont="0" applyFill="0" applyBorder="0" applyAlignment="0" applyProtection="0"/>
    <xf numFmtId="245"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74" fontId="12" fillId="0" borderId="0" applyFont="0" applyFill="0" applyBorder="0" applyAlignment="0" applyProtection="0"/>
    <xf numFmtId="177" fontId="12" fillId="0" borderId="0" applyFont="0" applyFill="0" applyBorder="0" applyAlignment="0" applyProtection="0"/>
    <xf numFmtId="246" fontId="12" fillId="0" borderId="0" applyFont="0" applyFill="0" applyBorder="0" applyAlignment="0" applyProtection="0"/>
    <xf numFmtId="164" fontId="12" fillId="0" borderId="0" applyFont="0" applyFill="0" applyBorder="0" applyAlignment="0" applyProtection="0"/>
    <xf numFmtId="174" fontId="4" fillId="0" borderId="0" applyFont="0" applyFill="0" applyBorder="0" applyAlignment="0" applyProtection="0"/>
    <xf numFmtId="164" fontId="12" fillId="0" borderId="0" applyFont="0" applyFill="0" applyBorder="0" applyAlignment="0" applyProtection="0"/>
    <xf numFmtId="174" fontId="4" fillId="0" borderId="0" applyFont="0" applyFill="0" applyBorder="0" applyAlignment="0" applyProtection="0"/>
    <xf numFmtId="245" fontId="12" fillId="0" borderId="0" applyFont="0" applyFill="0" applyBorder="0" applyAlignment="0" applyProtection="0"/>
    <xf numFmtId="245" fontId="12" fillId="0" borderId="0" applyFont="0" applyFill="0" applyBorder="0" applyAlignment="0" applyProtection="0"/>
    <xf numFmtId="177" fontId="12" fillId="0" borderId="0" applyFont="0" applyFill="0" applyBorder="0" applyAlignment="0" applyProtection="0"/>
    <xf numFmtId="247" fontId="12" fillId="0" borderId="0" applyFont="0" applyFill="0" applyBorder="0" applyAlignment="0" applyProtection="0"/>
    <xf numFmtId="245" fontId="12" fillId="0" borderId="0" applyFont="0" applyFill="0" applyBorder="0" applyAlignment="0" applyProtection="0"/>
    <xf numFmtId="248" fontId="12" fillId="0" borderId="0" applyFont="0" applyFill="0" applyBorder="0" applyAlignment="0" applyProtection="0"/>
    <xf numFmtId="249" fontId="12" fillId="0" borderId="0" applyFont="0" applyFill="0" applyBorder="0" applyAlignment="0" applyProtection="0"/>
    <xf numFmtId="164" fontId="12" fillId="0" borderId="0" applyFont="0" applyFill="0" applyBorder="0" applyAlignment="0" applyProtection="0"/>
    <xf numFmtId="248" fontId="12" fillId="0" borderId="0" applyFont="0" applyFill="0" applyBorder="0" applyAlignment="0" applyProtection="0"/>
    <xf numFmtId="177"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64" fontId="12" fillId="0" borderId="0" applyFont="0" applyFill="0" applyBorder="0" applyAlignment="0" applyProtection="0"/>
    <xf numFmtId="245" fontId="12" fillId="0" borderId="0" applyFont="0" applyFill="0" applyBorder="0" applyAlignment="0" applyProtection="0"/>
    <xf numFmtId="164" fontId="12" fillId="0" borderId="0" applyFont="0" applyFill="0" applyBorder="0" applyAlignment="0" applyProtection="0"/>
    <xf numFmtId="174" fontId="12" fillId="0" borderId="0" applyFont="0" applyFill="0" applyBorder="0" applyAlignment="0" applyProtection="0"/>
    <xf numFmtId="245" fontId="12" fillId="0" borderId="0" applyFont="0" applyFill="0" applyBorder="0" applyAlignment="0" applyProtection="0"/>
    <xf numFmtId="245" fontId="12" fillId="0" borderId="0" applyFont="0" applyFill="0" applyBorder="0" applyAlignment="0" applyProtection="0"/>
    <xf numFmtId="14" fontId="166" fillId="0" borderId="0"/>
    <xf numFmtId="0" fontId="167" fillId="0" borderId="0"/>
    <xf numFmtId="0" fontId="54" fillId="0" borderId="0"/>
    <xf numFmtId="40" fontId="75" fillId="0" borderId="0" applyBorder="0">
      <alignment horizontal="right"/>
    </xf>
    <xf numFmtId="0" fontId="168" fillId="0" borderId="0"/>
    <xf numFmtId="205" fontId="45" fillId="0" borderId="25">
      <alignment horizontal="right" vertical="center"/>
    </xf>
    <xf numFmtId="205" fontId="45" fillId="0" borderId="25">
      <alignment horizontal="right" vertical="center"/>
    </xf>
    <xf numFmtId="205" fontId="45" fillId="0" borderId="25">
      <alignment horizontal="right" vertical="center"/>
    </xf>
    <xf numFmtId="205" fontId="45" fillId="0" borderId="25">
      <alignment horizontal="right" vertical="center"/>
    </xf>
    <xf numFmtId="205" fontId="45" fillId="0" borderId="25">
      <alignment horizontal="right" vertical="center"/>
    </xf>
    <xf numFmtId="221" fontId="169" fillId="0" borderId="25">
      <alignment horizontal="right" vertical="center"/>
    </xf>
    <xf numFmtId="234" fontId="92" fillId="0" borderId="25">
      <alignment horizontal="right" vertical="center"/>
    </xf>
    <xf numFmtId="234" fontId="92" fillId="0" borderId="25">
      <alignment horizontal="right" vertical="center"/>
    </xf>
    <xf numFmtId="205" fontId="45" fillId="0" borderId="25">
      <alignment horizontal="right" vertical="center"/>
    </xf>
    <xf numFmtId="205" fontId="45" fillId="0" borderId="25">
      <alignment horizontal="right" vertical="center"/>
    </xf>
    <xf numFmtId="205" fontId="45" fillId="0" borderId="25">
      <alignment horizontal="right" vertical="center"/>
    </xf>
    <xf numFmtId="205" fontId="45" fillId="0" borderId="25">
      <alignment horizontal="right" vertical="center"/>
    </xf>
    <xf numFmtId="205" fontId="45" fillId="0" borderId="25">
      <alignment horizontal="right" vertical="center"/>
    </xf>
    <xf numFmtId="205" fontId="45" fillId="0" borderId="25">
      <alignment horizontal="right" vertical="center"/>
    </xf>
    <xf numFmtId="205" fontId="45" fillId="0" borderId="25">
      <alignment horizontal="right" vertical="center"/>
    </xf>
    <xf numFmtId="205" fontId="45" fillId="0" borderId="25">
      <alignment horizontal="right" vertical="center"/>
    </xf>
    <xf numFmtId="290" fontId="45" fillId="0" borderId="36">
      <alignment horizontal="right" vertical="center"/>
    </xf>
    <xf numFmtId="290" fontId="45" fillId="0" borderId="36">
      <alignment horizontal="right" vertical="center"/>
    </xf>
    <xf numFmtId="205" fontId="45" fillId="0" borderId="25">
      <alignment horizontal="right" vertical="center"/>
    </xf>
    <xf numFmtId="205" fontId="45" fillId="0" borderId="25">
      <alignment horizontal="right" vertical="center"/>
    </xf>
    <xf numFmtId="205" fontId="45" fillId="0" borderId="25">
      <alignment horizontal="right" vertical="center"/>
    </xf>
    <xf numFmtId="234" fontId="92" fillId="0" borderId="25">
      <alignment horizontal="right" vertical="center"/>
    </xf>
    <xf numFmtId="234" fontId="92" fillId="0" borderId="25">
      <alignment horizontal="right" vertical="center"/>
    </xf>
    <xf numFmtId="234" fontId="92" fillId="0" borderId="25">
      <alignment horizontal="right" vertical="center"/>
    </xf>
    <xf numFmtId="234" fontId="92" fillId="0" borderId="25">
      <alignment horizontal="right" vertical="center"/>
    </xf>
    <xf numFmtId="234" fontId="92" fillId="0" borderId="25">
      <alignment horizontal="right" vertical="center"/>
    </xf>
    <xf numFmtId="234" fontId="92" fillId="0" borderId="25">
      <alignment horizontal="right" vertical="center"/>
    </xf>
    <xf numFmtId="234" fontId="92" fillId="0" borderId="25">
      <alignment horizontal="right" vertical="center"/>
    </xf>
    <xf numFmtId="205" fontId="45" fillId="0" borderId="25">
      <alignment horizontal="right" vertical="center"/>
    </xf>
    <xf numFmtId="290" fontId="45" fillId="0" borderId="36">
      <alignment horizontal="right" vertical="center"/>
    </xf>
    <xf numFmtId="290" fontId="45" fillId="0" borderId="36">
      <alignment horizontal="right" vertical="center"/>
    </xf>
    <xf numFmtId="222" fontId="23" fillId="0" borderId="25">
      <alignment horizontal="right" vertical="center"/>
    </xf>
    <xf numFmtId="234" fontId="92" fillId="0" borderId="25">
      <alignment horizontal="right" vertical="center"/>
    </xf>
    <xf numFmtId="234" fontId="92" fillId="0" borderId="25">
      <alignment horizontal="right" vertical="center"/>
    </xf>
    <xf numFmtId="234" fontId="92" fillId="0" borderId="25">
      <alignment horizontal="right" vertical="center"/>
    </xf>
    <xf numFmtId="222" fontId="23" fillId="0" borderId="25">
      <alignment horizontal="right" vertical="center"/>
    </xf>
    <xf numFmtId="236" fontId="5" fillId="0" borderId="25">
      <alignment horizontal="right" vertical="center"/>
    </xf>
    <xf numFmtId="236" fontId="5" fillId="0" borderId="25">
      <alignment horizontal="right" vertical="center"/>
    </xf>
    <xf numFmtId="293" fontId="5" fillId="0" borderId="25">
      <alignment horizontal="right" vertical="center"/>
    </xf>
    <xf numFmtId="293" fontId="5" fillId="0" borderId="25">
      <alignment horizontal="right" vertical="center"/>
    </xf>
    <xf numFmtId="293" fontId="5" fillId="0" borderId="25">
      <alignment horizontal="right" vertical="center"/>
    </xf>
    <xf numFmtId="293" fontId="5" fillId="0" borderId="25">
      <alignment horizontal="right" vertical="center"/>
    </xf>
    <xf numFmtId="291" fontId="5" fillId="0" borderId="25">
      <alignment horizontal="right" vertical="center"/>
    </xf>
    <xf numFmtId="291" fontId="5" fillId="0" borderId="25">
      <alignment horizontal="right" vertical="center"/>
    </xf>
    <xf numFmtId="292" fontId="12" fillId="0" borderId="25">
      <alignment horizontal="right" vertical="center"/>
    </xf>
    <xf numFmtId="291" fontId="5" fillId="0" borderId="25">
      <alignment horizontal="right" vertical="center"/>
    </xf>
    <xf numFmtId="291" fontId="5" fillId="0" borderId="25">
      <alignment horizontal="right" vertical="center"/>
    </xf>
    <xf numFmtId="222" fontId="23" fillId="0" borderId="25">
      <alignment horizontal="right" vertical="center"/>
    </xf>
    <xf numFmtId="234" fontId="92" fillId="0" borderId="25">
      <alignment horizontal="right" vertical="center"/>
    </xf>
    <xf numFmtId="234" fontId="92" fillId="0" borderId="25">
      <alignment horizontal="right" vertical="center"/>
    </xf>
    <xf numFmtId="236" fontId="5" fillId="0" borderId="25">
      <alignment horizontal="right" vertical="center"/>
    </xf>
    <xf numFmtId="236" fontId="5" fillId="0" borderId="25">
      <alignment horizontal="right" vertical="center"/>
    </xf>
    <xf numFmtId="222" fontId="23" fillId="0" borderId="25">
      <alignment horizontal="right" vertical="center"/>
    </xf>
    <xf numFmtId="294" fontId="4" fillId="0" borderId="25">
      <alignment horizontal="right" vertical="center"/>
    </xf>
    <xf numFmtId="222" fontId="23" fillId="0" borderId="25">
      <alignment horizontal="right" vertical="center"/>
    </xf>
    <xf numFmtId="290" fontId="45" fillId="0" borderId="36">
      <alignment horizontal="right" vertical="center"/>
    </xf>
    <xf numFmtId="290" fontId="45" fillId="0" borderId="36">
      <alignment horizontal="right" vertical="center"/>
    </xf>
    <xf numFmtId="205" fontId="45" fillId="0" borderId="25">
      <alignment horizontal="right" vertical="center"/>
    </xf>
    <xf numFmtId="205" fontId="45" fillId="0" borderId="25">
      <alignment horizontal="right" vertical="center"/>
    </xf>
    <xf numFmtId="205" fontId="45" fillId="0" borderId="25">
      <alignment horizontal="right" vertical="center"/>
    </xf>
    <xf numFmtId="205" fontId="45" fillId="0" borderId="25">
      <alignment horizontal="right" vertical="center"/>
    </xf>
    <xf numFmtId="205" fontId="45" fillId="0" borderId="25">
      <alignment horizontal="right" vertical="center"/>
    </xf>
    <xf numFmtId="205" fontId="45" fillId="0" borderId="25">
      <alignment horizontal="right" vertical="center"/>
    </xf>
    <xf numFmtId="205" fontId="45" fillId="0" borderId="25">
      <alignment horizontal="right" vertical="center"/>
    </xf>
    <xf numFmtId="290" fontId="45" fillId="0" borderId="36">
      <alignment horizontal="right" vertical="center"/>
    </xf>
    <xf numFmtId="290" fontId="45" fillId="0" borderId="36">
      <alignment horizontal="right" vertical="center"/>
    </xf>
    <xf numFmtId="291" fontId="5" fillId="0" borderId="25">
      <alignment horizontal="right" vertical="center"/>
    </xf>
    <xf numFmtId="291" fontId="5" fillId="0" borderId="25">
      <alignment horizontal="right" vertical="center"/>
    </xf>
    <xf numFmtId="292" fontId="12" fillId="0" borderId="25">
      <alignment horizontal="right" vertical="center"/>
    </xf>
    <xf numFmtId="291" fontId="5" fillId="0" borderId="25">
      <alignment horizontal="right" vertical="center"/>
    </xf>
    <xf numFmtId="291" fontId="5" fillId="0" borderId="25">
      <alignment horizontal="right" vertical="center"/>
    </xf>
    <xf numFmtId="293" fontId="5" fillId="0" borderId="25">
      <alignment horizontal="right" vertical="center"/>
    </xf>
    <xf numFmtId="293" fontId="5" fillId="0" borderId="25">
      <alignment horizontal="right" vertical="center"/>
    </xf>
    <xf numFmtId="205" fontId="45" fillId="0" borderId="25">
      <alignment horizontal="right" vertical="center"/>
    </xf>
    <xf numFmtId="205" fontId="45" fillId="0" borderId="25">
      <alignment horizontal="right" vertical="center"/>
    </xf>
    <xf numFmtId="205" fontId="45" fillId="0" borderId="25">
      <alignment horizontal="right" vertical="center"/>
    </xf>
    <xf numFmtId="205" fontId="45" fillId="0" borderId="25">
      <alignment horizontal="right" vertical="center"/>
    </xf>
    <xf numFmtId="205" fontId="45" fillId="0" borderId="25">
      <alignment horizontal="right" vertical="center"/>
    </xf>
    <xf numFmtId="205" fontId="45" fillId="0" borderId="25">
      <alignment horizontal="right" vertical="center"/>
    </xf>
    <xf numFmtId="291" fontId="5" fillId="0" borderId="25">
      <alignment horizontal="right" vertical="center"/>
    </xf>
    <xf numFmtId="291" fontId="5" fillId="0" borderId="25">
      <alignment horizontal="right" vertical="center"/>
    </xf>
    <xf numFmtId="295" fontId="170" fillId="2" borderId="37" applyFont="0" applyFill="0" applyBorder="0"/>
    <xf numFmtId="291" fontId="5" fillId="0" borderId="25">
      <alignment horizontal="right" vertical="center"/>
    </xf>
    <xf numFmtId="291" fontId="5" fillId="0" borderId="25">
      <alignment horizontal="right" vertical="center"/>
    </xf>
    <xf numFmtId="290" fontId="45" fillId="0" borderId="36">
      <alignment horizontal="right" vertical="center"/>
    </xf>
    <xf numFmtId="290" fontId="45" fillId="0" borderId="36">
      <alignment horizontal="right" vertical="center"/>
    </xf>
    <xf numFmtId="205" fontId="45" fillId="0" borderId="25">
      <alignment horizontal="right" vertical="center"/>
    </xf>
    <xf numFmtId="205" fontId="45" fillId="0" borderId="25">
      <alignment horizontal="right" vertical="center"/>
    </xf>
    <xf numFmtId="205" fontId="45" fillId="0" borderId="25">
      <alignment horizontal="right" vertical="center"/>
    </xf>
    <xf numFmtId="205" fontId="45" fillId="0" borderId="25">
      <alignment horizontal="right" vertical="center"/>
    </xf>
    <xf numFmtId="205" fontId="45" fillId="0" borderId="25">
      <alignment horizontal="right" vertical="center"/>
    </xf>
    <xf numFmtId="205" fontId="45" fillId="0" borderId="25">
      <alignment horizontal="right" vertical="center"/>
    </xf>
    <xf numFmtId="251" fontId="45" fillId="0" borderId="25">
      <alignment horizontal="right" vertical="center"/>
    </xf>
    <xf numFmtId="295" fontId="170" fillId="2" borderId="37" applyFont="0" applyFill="0" applyBorder="0"/>
    <xf numFmtId="296" fontId="7" fillId="0" borderId="25">
      <alignment horizontal="right" vertical="center"/>
    </xf>
    <xf numFmtId="296" fontId="7" fillId="0" borderId="25">
      <alignment horizontal="right" vertical="center"/>
    </xf>
    <xf numFmtId="205" fontId="45" fillId="0" borderId="25">
      <alignment horizontal="right" vertical="center"/>
    </xf>
    <xf numFmtId="205" fontId="45" fillId="0" borderId="25">
      <alignment horizontal="right" vertical="center"/>
    </xf>
    <xf numFmtId="251" fontId="45" fillId="0" borderId="25">
      <alignment horizontal="right" vertical="center"/>
    </xf>
    <xf numFmtId="236" fontId="5" fillId="0" borderId="25">
      <alignment horizontal="right" vertical="center"/>
    </xf>
    <xf numFmtId="236" fontId="5" fillId="0" borderId="25">
      <alignment horizontal="right" vertical="center"/>
    </xf>
    <xf numFmtId="290" fontId="45" fillId="0" borderId="36">
      <alignment horizontal="right" vertical="center"/>
    </xf>
    <xf numFmtId="290" fontId="45" fillId="0" borderId="36">
      <alignment horizontal="right" vertical="center"/>
    </xf>
    <xf numFmtId="291" fontId="5" fillId="0" borderId="25">
      <alignment horizontal="right" vertical="center"/>
    </xf>
    <xf numFmtId="291" fontId="5" fillId="0" borderId="25">
      <alignment horizontal="right" vertical="center"/>
    </xf>
    <xf numFmtId="205" fontId="45" fillId="0" borderId="25">
      <alignment horizontal="right" vertical="center"/>
    </xf>
    <xf numFmtId="292" fontId="12" fillId="0" borderId="25">
      <alignment horizontal="right" vertical="center"/>
    </xf>
    <xf numFmtId="291" fontId="5" fillId="0" borderId="25">
      <alignment horizontal="right" vertical="center"/>
    </xf>
    <xf numFmtId="291" fontId="5" fillId="0" borderId="25">
      <alignment horizontal="right" vertical="center"/>
    </xf>
    <xf numFmtId="236" fontId="5" fillId="0" borderId="25">
      <alignment horizontal="right" vertical="center"/>
    </xf>
    <xf numFmtId="236" fontId="5" fillId="0" borderId="25">
      <alignment horizontal="right" vertical="center"/>
    </xf>
    <xf numFmtId="236" fontId="5" fillId="0" borderId="25">
      <alignment horizontal="right" vertical="center"/>
    </xf>
    <xf numFmtId="236" fontId="5" fillId="0" borderId="25">
      <alignment horizontal="right" vertical="center"/>
    </xf>
    <xf numFmtId="297" fontId="4" fillId="0" borderId="25">
      <alignment horizontal="right" vertical="center"/>
    </xf>
    <xf numFmtId="290" fontId="45" fillId="0" borderId="36">
      <alignment horizontal="right" vertical="center"/>
    </xf>
    <xf numFmtId="290" fontId="45" fillId="0" borderId="36">
      <alignment horizontal="right" vertical="center"/>
    </xf>
    <xf numFmtId="298" fontId="5" fillId="0" borderId="25">
      <alignment horizontal="right" vertical="center"/>
    </xf>
    <xf numFmtId="298" fontId="5" fillId="0" borderId="25">
      <alignment horizontal="right" vertical="center"/>
    </xf>
    <xf numFmtId="234" fontId="92" fillId="0" borderId="25">
      <alignment horizontal="right" vertical="center"/>
    </xf>
    <xf numFmtId="234" fontId="92" fillId="0" borderId="25">
      <alignment horizontal="right" vertical="center"/>
    </xf>
    <xf numFmtId="234" fontId="92" fillId="0" borderId="25">
      <alignment horizontal="right" vertical="center"/>
    </xf>
    <xf numFmtId="234" fontId="92" fillId="0" borderId="25">
      <alignment horizontal="right" vertical="center"/>
    </xf>
    <xf numFmtId="234" fontId="92" fillId="0" borderId="25">
      <alignment horizontal="right" vertical="center"/>
    </xf>
    <xf numFmtId="291" fontId="5" fillId="0" borderId="25">
      <alignment horizontal="right" vertical="center"/>
    </xf>
    <xf numFmtId="291" fontId="5" fillId="0" borderId="25">
      <alignment horizontal="right" vertical="center"/>
    </xf>
    <xf numFmtId="293" fontId="5" fillId="0" borderId="25">
      <alignment horizontal="right" vertical="center"/>
    </xf>
    <xf numFmtId="293" fontId="5" fillId="0" borderId="25">
      <alignment horizontal="right" vertical="center"/>
    </xf>
    <xf numFmtId="238" fontId="5" fillId="0" borderId="25">
      <alignment horizontal="right" vertical="center"/>
    </xf>
    <xf numFmtId="238" fontId="5" fillId="0" borderId="25">
      <alignment horizontal="right" vertical="center"/>
    </xf>
    <xf numFmtId="234" fontId="92" fillId="0" borderId="25">
      <alignment horizontal="right" vertical="center"/>
    </xf>
    <xf numFmtId="234" fontId="92" fillId="0" borderId="25">
      <alignment horizontal="right" vertical="center"/>
    </xf>
    <xf numFmtId="234" fontId="92" fillId="0" borderId="25">
      <alignment horizontal="right" vertical="center"/>
    </xf>
    <xf numFmtId="234" fontId="92" fillId="0" borderId="25">
      <alignment horizontal="right" vertical="center"/>
    </xf>
    <xf numFmtId="234" fontId="92" fillId="0" borderId="25">
      <alignment horizontal="right" vertical="center"/>
    </xf>
    <xf numFmtId="234" fontId="92" fillId="0" borderId="25">
      <alignment horizontal="right" vertical="center"/>
    </xf>
    <xf numFmtId="234" fontId="92" fillId="0" borderId="25">
      <alignment horizontal="right" vertical="center"/>
    </xf>
    <xf numFmtId="234" fontId="92" fillId="0" borderId="25">
      <alignment horizontal="right" vertical="center"/>
    </xf>
    <xf numFmtId="234" fontId="92" fillId="0" borderId="25">
      <alignment horizontal="right" vertical="center"/>
    </xf>
    <xf numFmtId="234" fontId="92" fillId="0" borderId="25">
      <alignment horizontal="right" vertical="center"/>
    </xf>
    <xf numFmtId="234" fontId="92" fillId="0" borderId="25">
      <alignment horizontal="right" vertical="center"/>
    </xf>
    <xf numFmtId="234" fontId="92" fillId="0" borderId="25">
      <alignment horizontal="right" vertical="center"/>
    </xf>
    <xf numFmtId="234" fontId="92" fillId="0" borderId="25">
      <alignment horizontal="right" vertical="center"/>
    </xf>
    <xf numFmtId="234" fontId="92" fillId="0" borderId="25">
      <alignment horizontal="right" vertical="center"/>
    </xf>
    <xf numFmtId="234" fontId="92" fillId="0" borderId="25">
      <alignment horizontal="right" vertical="center"/>
    </xf>
    <xf numFmtId="234" fontId="92" fillId="0" borderId="25">
      <alignment horizontal="right" vertical="center"/>
    </xf>
    <xf numFmtId="234" fontId="92" fillId="0" borderId="25">
      <alignment horizontal="right" vertical="center"/>
    </xf>
    <xf numFmtId="234" fontId="92" fillId="0" borderId="25">
      <alignment horizontal="right" vertical="center"/>
    </xf>
    <xf numFmtId="234" fontId="92" fillId="0" borderId="25">
      <alignment horizontal="right" vertical="center"/>
    </xf>
    <xf numFmtId="295" fontId="170" fillId="2" borderId="37" applyFont="0" applyFill="0" applyBorder="0"/>
    <xf numFmtId="291" fontId="5" fillId="0" borderId="25">
      <alignment horizontal="right" vertical="center"/>
    </xf>
    <xf numFmtId="291" fontId="5" fillId="0" borderId="25">
      <alignment horizontal="right" vertical="center"/>
    </xf>
    <xf numFmtId="205" fontId="45" fillId="0" borderId="25">
      <alignment horizontal="right" vertical="center"/>
    </xf>
    <xf numFmtId="205" fontId="45" fillId="0" borderId="25">
      <alignment horizontal="right" vertical="center"/>
    </xf>
    <xf numFmtId="205" fontId="45" fillId="0" borderId="25">
      <alignment horizontal="right" vertical="center"/>
    </xf>
    <xf numFmtId="205" fontId="45" fillId="0" borderId="25">
      <alignment horizontal="right" vertical="center"/>
    </xf>
    <xf numFmtId="205" fontId="45" fillId="0" borderId="25">
      <alignment horizontal="right" vertical="center"/>
    </xf>
    <xf numFmtId="205" fontId="45" fillId="0" borderId="25">
      <alignment horizontal="right" vertical="center"/>
    </xf>
    <xf numFmtId="205" fontId="45" fillId="0" borderId="25">
      <alignment horizontal="right" vertical="center"/>
    </xf>
    <xf numFmtId="205" fontId="45" fillId="0" borderId="25">
      <alignment horizontal="right" vertical="center"/>
    </xf>
    <xf numFmtId="205" fontId="45" fillId="0" borderId="25">
      <alignment horizontal="right" vertical="center"/>
    </xf>
    <xf numFmtId="205" fontId="45" fillId="0" borderId="25">
      <alignment horizontal="right" vertical="center"/>
    </xf>
    <xf numFmtId="205" fontId="45" fillId="0" borderId="25">
      <alignment horizontal="right" vertical="center"/>
    </xf>
    <xf numFmtId="205" fontId="45" fillId="0" borderId="25">
      <alignment horizontal="right" vertical="center"/>
    </xf>
    <xf numFmtId="205" fontId="45" fillId="0" borderId="25">
      <alignment horizontal="right" vertical="center"/>
    </xf>
    <xf numFmtId="205" fontId="45" fillId="0" borderId="25">
      <alignment horizontal="right" vertical="center"/>
    </xf>
    <xf numFmtId="205" fontId="45" fillId="0" borderId="25">
      <alignment horizontal="right" vertical="center"/>
    </xf>
    <xf numFmtId="205" fontId="45" fillId="0" borderId="25">
      <alignment horizontal="right" vertical="center"/>
    </xf>
    <xf numFmtId="205" fontId="45" fillId="0" borderId="25">
      <alignment horizontal="right" vertical="center"/>
    </xf>
    <xf numFmtId="205" fontId="45" fillId="0" borderId="25">
      <alignment horizontal="right" vertical="center"/>
    </xf>
    <xf numFmtId="205" fontId="45" fillId="0" borderId="25">
      <alignment horizontal="right" vertical="center"/>
    </xf>
    <xf numFmtId="205" fontId="45" fillId="0" borderId="25">
      <alignment horizontal="right" vertical="center"/>
    </xf>
    <xf numFmtId="205" fontId="45" fillId="0" borderId="25">
      <alignment horizontal="right" vertical="center"/>
    </xf>
    <xf numFmtId="205" fontId="45" fillId="0" borderId="25">
      <alignment horizontal="right" vertical="center"/>
    </xf>
    <xf numFmtId="205" fontId="45" fillId="0" borderId="25">
      <alignment horizontal="right" vertical="center"/>
    </xf>
    <xf numFmtId="205" fontId="45" fillId="0" borderId="25">
      <alignment horizontal="right" vertical="center"/>
    </xf>
    <xf numFmtId="291" fontId="5" fillId="0" borderId="25">
      <alignment horizontal="right" vertical="center"/>
    </xf>
    <xf numFmtId="291" fontId="5" fillId="0" borderId="25">
      <alignment horizontal="right" vertical="center"/>
    </xf>
    <xf numFmtId="234" fontId="92" fillId="0" borderId="25">
      <alignment horizontal="right" vertical="center"/>
    </xf>
    <xf numFmtId="234" fontId="92" fillId="0" borderId="25">
      <alignment horizontal="right" vertical="center"/>
    </xf>
    <xf numFmtId="234" fontId="92" fillId="0" borderId="25">
      <alignment horizontal="right" vertical="center"/>
    </xf>
    <xf numFmtId="234" fontId="92" fillId="0" borderId="25">
      <alignment horizontal="right" vertical="center"/>
    </xf>
    <xf numFmtId="234" fontId="92" fillId="0" borderId="25">
      <alignment horizontal="right" vertical="center"/>
    </xf>
    <xf numFmtId="234" fontId="92" fillId="0" borderId="25">
      <alignment horizontal="right" vertical="center"/>
    </xf>
    <xf numFmtId="234" fontId="92" fillId="0" borderId="25">
      <alignment horizontal="right" vertical="center"/>
    </xf>
    <xf numFmtId="234" fontId="92" fillId="0" borderId="25">
      <alignment horizontal="right" vertical="center"/>
    </xf>
    <xf numFmtId="234" fontId="92" fillId="0" borderId="25">
      <alignment horizontal="right" vertical="center"/>
    </xf>
    <xf numFmtId="234" fontId="92" fillId="0" borderId="25">
      <alignment horizontal="right" vertical="center"/>
    </xf>
    <xf numFmtId="234" fontId="92" fillId="0" borderId="25">
      <alignment horizontal="right" vertical="center"/>
    </xf>
    <xf numFmtId="234" fontId="92" fillId="0" borderId="25">
      <alignment horizontal="right" vertical="center"/>
    </xf>
    <xf numFmtId="295" fontId="170" fillId="2" borderId="37" applyFont="0" applyFill="0" applyBorder="0"/>
    <xf numFmtId="295" fontId="170" fillId="2" borderId="37" applyFont="0" applyFill="0" applyBorder="0"/>
    <xf numFmtId="211" fontId="45" fillId="0" borderId="25">
      <alignment horizontal="right" vertical="center"/>
    </xf>
    <xf numFmtId="222" fontId="23" fillId="0" borderId="25">
      <alignment horizontal="right" vertical="center"/>
    </xf>
    <xf numFmtId="234" fontId="92" fillId="0" borderId="25">
      <alignment horizontal="right" vertical="center"/>
    </xf>
    <xf numFmtId="234" fontId="92" fillId="0" borderId="25">
      <alignment horizontal="right" vertical="center"/>
    </xf>
    <xf numFmtId="299" fontId="92" fillId="0" borderId="25">
      <alignment horizontal="right" vertical="center"/>
    </xf>
    <xf numFmtId="291" fontId="5" fillId="0" borderId="25">
      <alignment horizontal="right" vertical="center"/>
    </xf>
    <xf numFmtId="291" fontId="5" fillId="0" borderId="25">
      <alignment horizontal="right" vertical="center"/>
    </xf>
    <xf numFmtId="234" fontId="92" fillId="0" borderId="25">
      <alignment horizontal="right" vertical="center"/>
    </xf>
    <xf numFmtId="234" fontId="92" fillId="0" borderId="25">
      <alignment horizontal="right" vertical="center"/>
    </xf>
    <xf numFmtId="291" fontId="5" fillId="0" borderId="25">
      <alignment horizontal="right" vertical="center"/>
    </xf>
    <xf numFmtId="291" fontId="5" fillId="0" borderId="25">
      <alignment horizontal="right" vertical="center"/>
    </xf>
    <xf numFmtId="205" fontId="45" fillId="0" borderId="25">
      <alignment horizontal="right" vertical="center"/>
    </xf>
    <xf numFmtId="205" fontId="45" fillId="0" borderId="25">
      <alignment horizontal="right" vertical="center"/>
    </xf>
    <xf numFmtId="234" fontId="92" fillId="0" borderId="25">
      <alignment horizontal="right" vertical="center"/>
    </xf>
    <xf numFmtId="234" fontId="92" fillId="0" borderId="25">
      <alignment horizontal="right" vertical="center"/>
    </xf>
    <xf numFmtId="234" fontId="92" fillId="0" borderId="25">
      <alignment horizontal="right" vertical="center"/>
    </xf>
    <xf numFmtId="234" fontId="92" fillId="0" borderId="25">
      <alignment horizontal="right" vertical="center"/>
    </xf>
    <xf numFmtId="234" fontId="92" fillId="0" borderId="25">
      <alignment horizontal="right" vertical="center"/>
    </xf>
    <xf numFmtId="205" fontId="45" fillId="0" borderId="25">
      <alignment horizontal="right" vertical="center"/>
    </xf>
    <xf numFmtId="295" fontId="170" fillId="2" borderId="37" applyFont="0" applyFill="0" applyBorder="0"/>
    <xf numFmtId="202" fontId="5" fillId="0" borderId="25">
      <alignment horizontal="right" vertical="center"/>
    </xf>
    <xf numFmtId="202" fontId="5" fillId="0" borderId="25">
      <alignment horizontal="right" vertical="center"/>
    </xf>
    <xf numFmtId="202" fontId="5" fillId="0" borderId="25">
      <alignment horizontal="right" vertical="center"/>
    </xf>
    <xf numFmtId="202" fontId="5" fillId="0" borderId="25">
      <alignment horizontal="right" vertical="center"/>
    </xf>
    <xf numFmtId="202" fontId="5" fillId="0" borderId="25">
      <alignment horizontal="right" vertical="center"/>
    </xf>
    <xf numFmtId="202" fontId="5" fillId="0" borderId="25">
      <alignment horizontal="right" vertical="center"/>
    </xf>
    <xf numFmtId="202" fontId="5" fillId="0" borderId="25">
      <alignment horizontal="right" vertical="center"/>
    </xf>
    <xf numFmtId="205" fontId="45" fillId="0" borderId="25">
      <alignment horizontal="right" vertical="center"/>
    </xf>
    <xf numFmtId="202" fontId="5" fillId="0" borderId="25">
      <alignment horizontal="right" vertical="center"/>
    </xf>
    <xf numFmtId="202" fontId="5" fillId="0" borderId="25">
      <alignment horizontal="right" vertical="center"/>
    </xf>
    <xf numFmtId="300" fontId="5" fillId="0" borderId="36">
      <alignment horizontal="right" vertical="center"/>
    </xf>
    <xf numFmtId="300" fontId="5" fillId="0" borderId="36">
      <alignment horizontal="right" vertical="center"/>
    </xf>
    <xf numFmtId="300" fontId="5" fillId="0" borderId="36">
      <alignment horizontal="right" vertical="center"/>
    </xf>
    <xf numFmtId="300" fontId="5" fillId="0" borderId="36">
      <alignment horizontal="right" vertical="center"/>
    </xf>
    <xf numFmtId="300" fontId="5" fillId="0" borderId="36">
      <alignment horizontal="right" vertical="center"/>
    </xf>
    <xf numFmtId="221" fontId="169" fillId="0" borderId="25">
      <alignment horizontal="right" vertical="center"/>
    </xf>
    <xf numFmtId="222" fontId="23" fillId="0" borderId="25">
      <alignment horizontal="right" vertical="center"/>
    </xf>
    <xf numFmtId="205" fontId="45" fillId="0" borderId="25">
      <alignment horizontal="right" vertical="center"/>
    </xf>
    <xf numFmtId="291" fontId="5" fillId="0" borderId="25">
      <alignment horizontal="right" vertical="center"/>
    </xf>
    <xf numFmtId="291" fontId="5" fillId="0" borderId="25">
      <alignment horizontal="right" vertical="center"/>
    </xf>
    <xf numFmtId="205" fontId="45" fillId="0" borderId="25">
      <alignment horizontal="right" vertical="center"/>
    </xf>
    <xf numFmtId="290" fontId="45" fillId="0" borderId="36">
      <alignment horizontal="right" vertical="center"/>
    </xf>
    <xf numFmtId="290" fontId="45" fillId="0" borderId="36">
      <alignment horizontal="right" vertical="center"/>
    </xf>
    <xf numFmtId="290" fontId="45" fillId="0" borderId="36">
      <alignment horizontal="right" vertical="center"/>
    </xf>
    <xf numFmtId="290" fontId="45" fillId="0" borderId="36">
      <alignment horizontal="right" vertical="center"/>
    </xf>
    <xf numFmtId="290" fontId="45" fillId="0" borderId="36">
      <alignment horizontal="right" vertical="center"/>
    </xf>
    <xf numFmtId="290" fontId="45" fillId="0" borderId="36">
      <alignment horizontal="right" vertical="center"/>
    </xf>
    <xf numFmtId="290" fontId="45" fillId="0" borderId="36">
      <alignment horizontal="right" vertical="center"/>
    </xf>
    <xf numFmtId="290" fontId="45" fillId="0" borderId="36">
      <alignment horizontal="right" vertical="center"/>
    </xf>
    <xf numFmtId="290" fontId="45" fillId="0" borderId="36">
      <alignment horizontal="right" vertical="center"/>
    </xf>
    <xf numFmtId="290" fontId="45" fillId="0" borderId="36">
      <alignment horizontal="right" vertical="center"/>
    </xf>
    <xf numFmtId="205" fontId="45" fillId="0" borderId="25">
      <alignment horizontal="right" vertical="center"/>
    </xf>
    <xf numFmtId="238" fontId="5" fillId="0" borderId="25">
      <alignment horizontal="right" vertical="center"/>
    </xf>
    <xf numFmtId="238" fontId="5" fillId="0" borderId="25">
      <alignment horizontal="right" vertical="center"/>
    </xf>
    <xf numFmtId="222" fontId="23" fillId="0" borderId="25">
      <alignment horizontal="right" vertical="center"/>
    </xf>
    <xf numFmtId="205" fontId="45" fillId="0" borderId="25">
      <alignment horizontal="right" vertical="center"/>
    </xf>
    <xf numFmtId="205" fontId="45" fillId="0" borderId="25">
      <alignment horizontal="right" vertical="center"/>
    </xf>
    <xf numFmtId="205" fontId="45" fillId="0" borderId="25">
      <alignment horizontal="right" vertical="center"/>
    </xf>
    <xf numFmtId="205" fontId="45" fillId="0" borderId="25">
      <alignment horizontal="right" vertical="center"/>
    </xf>
    <xf numFmtId="211" fontId="45" fillId="0" borderId="25">
      <alignment horizontal="right" vertical="center"/>
    </xf>
    <xf numFmtId="301" fontId="171" fillId="0" borderId="25">
      <alignment horizontal="right" vertical="center"/>
    </xf>
    <xf numFmtId="49" fontId="94" fillId="0" borderId="0" applyFill="0" applyBorder="0" applyProtection="0">
      <alignment horizontal="center" vertical="center" wrapText="1" shrinkToFit="1"/>
    </xf>
    <xf numFmtId="49" fontId="14" fillId="0" borderId="0" applyFill="0" applyBorder="0" applyAlignment="0"/>
    <xf numFmtId="49" fontId="14" fillId="0" borderId="0" applyFill="0" applyBorder="0" applyAlignment="0"/>
    <xf numFmtId="206" fontId="31" fillId="0" borderId="0" applyFill="0" applyBorder="0" applyAlignment="0"/>
    <xf numFmtId="206" fontId="7" fillId="0" borderId="0" applyFill="0" applyBorder="0" applyAlignment="0"/>
    <xf numFmtId="207" fontId="31" fillId="0" borderId="0" applyFill="0" applyBorder="0" applyAlignment="0"/>
    <xf numFmtId="207" fontId="7" fillId="0" borderId="0" applyFill="0" applyBorder="0" applyAlignment="0"/>
    <xf numFmtId="49" fontId="94" fillId="0" borderId="0" applyFill="0" applyBorder="0" applyProtection="0">
      <alignment horizontal="center" vertical="center" wrapText="1" shrinkToFit="1"/>
    </xf>
    <xf numFmtId="0" fontId="175" fillId="0" borderId="4">
      <alignment horizontal="center" vertical="center" wrapText="1"/>
    </xf>
    <xf numFmtId="0" fontId="176" fillId="0" borderId="0" applyNumberFormat="0" applyFill="0" applyBorder="0" applyAlignment="0" applyProtection="0"/>
    <xf numFmtId="40" fontId="1" fillId="0" borderId="0"/>
    <xf numFmtId="0" fontId="177" fillId="23" borderId="8" applyNumberFormat="0" applyAlignment="0" applyProtection="0"/>
    <xf numFmtId="3" fontId="178" fillId="0" borderId="0" applyNumberFormat="0" applyFill="0" applyBorder="0" applyAlignment="0" applyProtection="0">
      <alignment horizontal="center" wrapText="1"/>
    </xf>
    <xf numFmtId="0" fontId="179" fillId="0" borderId="27" applyBorder="0" applyAlignment="0">
      <alignment horizontal="center" vertical="center"/>
    </xf>
    <xf numFmtId="0" fontId="180" fillId="0" borderId="0" applyNumberFormat="0" applyFill="0" applyBorder="0" applyAlignment="0" applyProtection="0">
      <alignment horizontal="centerContinuous"/>
    </xf>
    <xf numFmtId="0" fontId="143" fillId="0" borderId="38" applyNumberFormat="0" applyFill="0" applyBorder="0" applyAlignment="0" applyProtection="0">
      <alignment horizontal="center" vertical="center" wrapText="1"/>
    </xf>
    <xf numFmtId="0" fontId="176" fillId="0" borderId="0" applyNumberFormat="0" applyFill="0" applyBorder="0" applyAlignment="0" applyProtection="0"/>
    <xf numFmtId="0" fontId="182" fillId="0" borderId="39" applyNumberFormat="0" applyBorder="0" applyAlignment="0">
      <alignment vertical="center"/>
    </xf>
    <xf numFmtId="0" fontId="7" fillId="0" borderId="7" applyNumberFormat="0" applyFont="0" applyFill="0" applyAlignment="0" applyProtection="0"/>
    <xf numFmtId="0" fontId="181" fillId="0" borderId="40" applyNumberFormat="0" applyFill="0" applyAlignment="0" applyProtection="0"/>
    <xf numFmtId="0" fontId="183" fillId="7" borderId="0" applyNumberFormat="0" applyBorder="0" applyAlignment="0" applyProtection="0"/>
    <xf numFmtId="0" fontId="185" fillId="0" borderId="41">
      <alignment horizontal="center"/>
    </xf>
    <xf numFmtId="3" fontId="186" fillId="0" borderId="0" applyFill="0">
      <alignment vertical="center"/>
    </xf>
    <xf numFmtId="171" fontId="7" fillId="0" borderId="0" applyFont="0" applyFill="0" applyBorder="0" applyAlignment="0" applyProtection="0"/>
    <xf numFmtId="229" fontId="7" fillId="0" borderId="0" applyFont="0" applyFill="0" applyBorder="0" applyAlignment="0" applyProtection="0"/>
    <xf numFmtId="208" fontId="45" fillId="0" borderId="25">
      <alignment horizontal="center"/>
    </xf>
    <xf numFmtId="302" fontId="172" fillId="0" borderId="0" applyNumberFormat="0" applyFont="0" applyFill="0" applyBorder="0" applyAlignment="0">
      <alignment horizontal="centerContinuous"/>
    </xf>
    <xf numFmtId="303" fontId="173" fillId="0" borderId="0">
      <alignment horizontal="center"/>
      <protection locked="0"/>
    </xf>
    <xf numFmtId="0" fontId="5" fillId="0" borderId="42"/>
    <xf numFmtId="0" fontId="5" fillId="0" borderId="42"/>
    <xf numFmtId="0" fontId="45"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34" fillId="0" borderId="4" applyNumberFormat="0" applyBorder="0" applyAlignment="0"/>
    <xf numFmtId="0" fontId="174" fillId="0" borderId="30" applyNumberFormat="0" applyBorder="0" applyAlignment="0">
      <alignment horizontal="center"/>
    </xf>
    <xf numFmtId="3" fontId="76" fillId="0" borderId="21" applyNumberFormat="0" applyBorder="0" applyAlignment="0"/>
    <xf numFmtId="0" fontId="77" fillId="0" borderId="43" applyNumberFormat="0" applyAlignment="0">
      <alignment horizontal="center"/>
    </xf>
    <xf numFmtId="0" fontId="184" fillId="30" borderId="0" applyNumberFormat="0" applyBorder="0" applyAlignment="0" applyProtection="0"/>
    <xf numFmtId="167" fontId="187" fillId="0" borderId="44" applyNumberFormat="0" applyFont="0" applyAlignment="0">
      <alignment horizontal="centerContinuous"/>
    </xf>
    <xf numFmtId="276" fontId="24" fillId="0" borderId="0" applyFont="0" applyFill="0" applyBorder="0" applyAlignment="0" applyProtection="0"/>
    <xf numFmtId="209" fontId="77" fillId="0" borderId="0" applyFont="0" applyFill="0" applyBorder="0" applyAlignment="0" applyProtection="0"/>
    <xf numFmtId="210" fontId="34" fillId="0" borderId="0" applyFont="0" applyFill="0" applyBorder="0" applyAlignment="0" applyProtection="0"/>
    <xf numFmtId="0" fontId="48" fillId="0" borderId="45">
      <alignment horizontal="center"/>
    </xf>
    <xf numFmtId="0" fontId="188" fillId="0" borderId="0" applyNumberFormat="0" applyFill="0" applyBorder="0" applyAlignment="0" applyProtection="0"/>
    <xf numFmtId="0" fontId="189" fillId="0" borderId="0" applyNumberFormat="0" applyFill="0" applyBorder="0" applyAlignment="0" applyProtection="0"/>
    <xf numFmtId="207" fontId="45" fillId="0" borderId="0"/>
    <xf numFmtId="211" fontId="45" fillId="0" borderId="1"/>
    <xf numFmtId="0" fontId="190" fillId="0" borderId="0"/>
    <xf numFmtId="0" fontId="99" fillId="0" borderId="0"/>
    <xf numFmtId="0" fontId="191" fillId="0" borderId="0"/>
    <xf numFmtId="3" fontId="45" fillId="0" borderId="0" applyNumberFormat="0" applyBorder="0" applyAlignment="0" applyProtection="0">
      <alignment horizontal="centerContinuous"/>
      <protection locked="0"/>
    </xf>
    <xf numFmtId="3" fontId="45" fillId="0" borderId="0" applyNumberFormat="0" applyBorder="0" applyAlignment="0" applyProtection="0">
      <alignment horizontal="centerContinuous"/>
      <protection locked="0"/>
    </xf>
    <xf numFmtId="3" fontId="78" fillId="0" borderId="0">
      <protection locked="0"/>
    </xf>
    <xf numFmtId="0" fontId="99" fillId="0" borderId="0"/>
    <xf numFmtId="0" fontId="192" fillId="0" borderId="46" applyFill="0" applyBorder="0" applyAlignment="0">
      <alignment horizontal="center"/>
    </xf>
    <xf numFmtId="5" fontId="79" fillId="46" borderId="27">
      <alignment vertical="top"/>
    </xf>
    <xf numFmtId="5" fontId="23" fillId="0" borderId="12">
      <alignment horizontal="left" vertical="top"/>
    </xf>
    <xf numFmtId="251" fontId="23" fillId="0" borderId="12">
      <alignment horizontal="left" vertical="top"/>
    </xf>
    <xf numFmtId="0" fontId="83" fillId="0" borderId="12">
      <alignment horizontal="left" vertical="center"/>
    </xf>
    <xf numFmtId="0" fontId="80" fillId="47" borderId="1">
      <alignment horizontal="left" vertical="center"/>
    </xf>
    <xf numFmtId="6" fontId="81" fillId="48" borderId="27"/>
    <xf numFmtId="5" fontId="51" fillId="0" borderId="27">
      <alignment horizontal="left" vertical="top"/>
    </xf>
    <xf numFmtId="0" fontId="82" fillId="49" borderId="0">
      <alignment horizontal="left" vertical="center"/>
    </xf>
    <xf numFmtId="0" fontId="7" fillId="0" borderId="0" applyFont="0" applyFill="0" applyBorder="0" applyAlignment="0" applyProtection="0"/>
    <xf numFmtId="0" fontId="7" fillId="0" borderId="0" applyFont="0" applyFill="0" applyBorder="0" applyAlignment="0" applyProtection="0"/>
    <xf numFmtId="212" fontId="7" fillId="0" borderId="0" applyFont="0" applyFill="0" applyBorder="0" applyAlignment="0" applyProtection="0"/>
    <xf numFmtId="213" fontId="7" fillId="0" borderId="0" applyFont="0" applyFill="0" applyBorder="0" applyAlignment="0" applyProtection="0"/>
    <xf numFmtId="42" fontId="41" fillId="0" borderId="0" applyFont="0" applyFill="0" applyBorder="0" applyAlignment="0" applyProtection="0"/>
    <xf numFmtId="44" fontId="41" fillId="0" borderId="0" applyFont="0" applyFill="0" applyBorder="0" applyAlignment="0" applyProtection="0"/>
    <xf numFmtId="0" fontId="193" fillId="0" borderId="0" applyNumberFormat="0" applyFill="0" applyBorder="0" applyAlignment="0" applyProtection="0"/>
    <xf numFmtId="0" fontId="194" fillId="0" borderId="0" applyNumberFormat="0" applyFont="0" applyFill="0" applyBorder="0" applyProtection="0">
      <alignment horizontal="center" vertical="center" wrapText="1"/>
    </xf>
    <xf numFmtId="0" fontId="7" fillId="0" borderId="0" applyFont="0" applyFill="0" applyBorder="0" applyAlignment="0" applyProtection="0"/>
    <xf numFmtId="0" fontId="7" fillId="0" borderId="0" applyFont="0" applyFill="0" applyBorder="0" applyAlignment="0" applyProtection="0"/>
    <xf numFmtId="0" fontId="195" fillId="6" borderId="0" applyNumberFormat="0" applyBorder="0" applyAlignment="0" applyProtection="0"/>
    <xf numFmtId="0" fontId="84" fillId="0" borderId="0" applyNumberFormat="0" applyFill="0" applyBorder="0" applyAlignment="0" applyProtection="0"/>
    <xf numFmtId="0" fontId="92" fillId="0" borderId="47" applyFont="0" applyBorder="0" applyAlignment="0">
      <alignment horizontal="center"/>
    </xf>
    <xf numFmtId="0" fontId="92" fillId="0" borderId="47" applyFont="0" applyBorder="0" applyAlignment="0">
      <alignment horizontal="center"/>
    </xf>
    <xf numFmtId="171" fontId="5" fillId="0" borderId="0" applyFont="0" applyFill="0" applyBorder="0" applyAlignment="0" applyProtection="0"/>
    <xf numFmtId="221" fontId="97" fillId="0" borderId="0" applyFont="0" applyFill="0" applyBorder="0" applyAlignment="0" applyProtection="0"/>
    <xf numFmtId="222" fontId="97" fillId="0" borderId="0" applyFont="0" applyFill="0" applyBorder="0" applyAlignment="0" applyProtection="0"/>
    <xf numFmtId="0" fontId="97" fillId="0" borderId="0"/>
    <xf numFmtId="0" fontId="85" fillId="0" borderId="0" applyFont="0" applyFill="0" applyBorder="0" applyAlignment="0" applyProtection="0"/>
    <xf numFmtId="0" fontId="85" fillId="0" borderId="0" applyFont="0" applyFill="0" applyBorder="0" applyAlignment="0" applyProtection="0"/>
    <xf numFmtId="0" fontId="86" fillId="0" borderId="0">
      <alignment vertical="center"/>
    </xf>
    <xf numFmtId="40" fontId="87" fillId="0" borderId="0" applyFont="0" applyFill="0" applyBorder="0" applyAlignment="0" applyProtection="0"/>
    <xf numFmtId="38" fontId="87" fillId="0" borderId="0" applyFont="0" applyFill="0" applyBorder="0" applyAlignment="0" applyProtection="0"/>
    <xf numFmtId="0" fontId="87" fillId="0" borderId="0" applyFont="0" applyFill="0" applyBorder="0" applyAlignment="0" applyProtection="0"/>
    <xf numFmtId="0" fontId="87" fillId="0" borderId="0" applyFont="0" applyFill="0" applyBorder="0" applyAlignment="0" applyProtection="0"/>
    <xf numFmtId="9" fontId="196" fillId="0" borderId="0" applyBorder="0" applyAlignment="0" applyProtection="0"/>
    <xf numFmtId="0" fontId="88" fillId="0" borderId="0"/>
    <xf numFmtId="0" fontId="89" fillId="0" borderId="3"/>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90" fillId="0" borderId="0" applyFont="0" applyFill="0" applyBorder="0" applyAlignment="0" applyProtection="0"/>
    <xf numFmtId="0" fontId="90" fillId="0" borderId="0" applyFont="0" applyFill="0" applyBorder="0" applyAlignment="0" applyProtection="0"/>
    <xf numFmtId="216" fontId="7" fillId="0" borderId="0" applyFont="0" applyFill="0" applyBorder="0" applyAlignment="0" applyProtection="0"/>
    <xf numFmtId="184" fontId="7" fillId="0" borderId="0" applyFont="0" applyFill="0" applyBorder="0" applyAlignment="0" applyProtection="0"/>
    <xf numFmtId="0" fontId="90" fillId="0" borderId="0"/>
    <xf numFmtId="0" fontId="197" fillId="0" borderId="0"/>
    <xf numFmtId="0" fontId="53" fillId="0" borderId="0"/>
    <xf numFmtId="171" fontId="59" fillId="0" borderId="0" applyFont="0" applyFill="0" applyBorder="0" applyAlignment="0" applyProtection="0"/>
    <xf numFmtId="172" fontId="59" fillId="0" borderId="0" applyFont="0" applyFill="0" applyBorder="0" applyAlignment="0" applyProtection="0"/>
    <xf numFmtId="304" fontId="99" fillId="0" borderId="0" applyFont="0" applyFill="0" applyBorder="0" applyAlignment="0" applyProtection="0"/>
    <xf numFmtId="288" fontId="99" fillId="0" borderId="0" applyFont="0" applyFill="0" applyBorder="0" applyAlignment="0" applyProtection="0"/>
    <xf numFmtId="0" fontId="7" fillId="0" borderId="0"/>
    <xf numFmtId="216" fontId="59" fillId="0" borderId="0" applyFont="0" applyFill="0" applyBorder="0" applyAlignment="0" applyProtection="0"/>
    <xf numFmtId="6" fontId="9" fillId="0" borderId="0" applyFont="0" applyFill="0" applyBorder="0" applyAlignment="0" applyProtection="0"/>
    <xf numFmtId="184" fontId="59" fillId="0" borderId="0" applyFont="0" applyFill="0" applyBorder="0" applyAlignment="0" applyProtection="0"/>
    <xf numFmtId="190" fontId="7" fillId="0" borderId="0" applyFont="0" applyFill="0" applyBorder="0" applyAlignment="0" applyProtection="0"/>
    <xf numFmtId="216" fontId="99" fillId="0" borderId="0" applyFont="0" applyFill="0" applyBorder="0" applyAlignment="0" applyProtection="0"/>
    <xf numFmtId="167" fontId="86" fillId="0" borderId="0" applyFont="0" applyFill="0" applyBorder="0" applyAlignment="0" applyProtection="0"/>
  </cellStyleXfs>
  <cellXfs count="688">
    <xf numFmtId="0" fontId="0" fillId="0" borderId="0" xfId="0"/>
    <xf numFmtId="0" fontId="1" fillId="0" borderId="0" xfId="0" applyFont="1" applyAlignment="1">
      <alignment vertical="center"/>
    </xf>
    <xf numFmtId="0" fontId="202" fillId="0" borderId="0" xfId="0" applyFont="1" applyAlignment="1"/>
    <xf numFmtId="166" fontId="198" fillId="0" borderId="0" xfId="943" applyNumberFormat="1" applyFont="1" applyAlignment="1"/>
    <xf numFmtId="43" fontId="198" fillId="0" borderId="0" xfId="943" applyFont="1" applyAlignment="1"/>
    <xf numFmtId="0" fontId="1" fillId="0" borderId="0" xfId="0" applyFont="1" applyAlignment="1">
      <alignment horizontal="right" vertical="center"/>
    </xf>
    <xf numFmtId="166" fontId="198" fillId="0" borderId="0" xfId="943" applyNumberFormat="1" applyFont="1"/>
    <xf numFmtId="43" fontId="198" fillId="0" borderId="0" xfId="943" applyFont="1"/>
    <xf numFmtId="167" fontId="198" fillId="0" borderId="0" xfId="943" applyNumberFormat="1" applyFont="1"/>
    <xf numFmtId="0" fontId="202" fillId="0" borderId="0" xfId="0" applyFont="1"/>
    <xf numFmtId="0" fontId="2" fillId="0" borderId="0" xfId="0" applyFont="1" applyAlignment="1">
      <alignment horizontal="center" vertical="center" wrapText="1"/>
    </xf>
    <xf numFmtId="166" fontId="2" fillId="0" borderId="0" xfId="943" applyNumberFormat="1" applyFont="1" applyAlignment="1">
      <alignment horizontal="center" vertical="center" wrapText="1"/>
    </xf>
    <xf numFmtId="43" fontId="2" fillId="0" borderId="0" xfId="943" applyFont="1" applyAlignment="1">
      <alignment horizontal="center" vertical="center" wrapText="1"/>
    </xf>
    <xf numFmtId="167" fontId="2" fillId="0" borderId="0" xfId="943" applyNumberFormat="1" applyFont="1" applyAlignment="1">
      <alignment horizontal="center" vertical="center" wrapText="1"/>
    </xf>
    <xf numFmtId="0" fontId="3" fillId="0" borderId="0" xfId="0" applyFont="1" applyAlignment="1">
      <alignment horizontal="right" vertical="center"/>
    </xf>
    <xf numFmtId="43" fontId="203" fillId="0" borderId="48" xfId="943" applyFont="1" applyBorder="1" applyAlignment="1">
      <alignment horizontal="center" vertical="center" wrapText="1"/>
    </xf>
    <xf numFmtId="167" fontId="203" fillId="0" borderId="48" xfId="943" applyNumberFormat="1" applyFont="1" applyBorder="1" applyAlignment="1">
      <alignment horizontal="center" vertical="center" wrapText="1"/>
    </xf>
    <xf numFmtId="0" fontId="203" fillId="0" borderId="48" xfId="0" applyFont="1" applyBorder="1" applyAlignment="1">
      <alignment horizontal="center" vertical="center" wrapText="1"/>
    </xf>
    <xf numFmtId="0" fontId="202" fillId="0" borderId="0" xfId="0" applyFont="1" applyAlignment="1">
      <alignment horizontal="center"/>
    </xf>
    <xf numFmtId="0" fontId="204" fillId="0" borderId="48" xfId="0" applyFont="1" applyBorder="1" applyAlignment="1">
      <alignment horizontal="center" vertical="center" wrapText="1"/>
    </xf>
    <xf numFmtId="166" fontId="203" fillId="0" borderId="48" xfId="943" applyNumberFormat="1" applyFont="1" applyBorder="1" applyAlignment="1">
      <alignment horizontal="center" vertical="center" wrapText="1"/>
    </xf>
    <xf numFmtId="0" fontId="203" fillId="0" borderId="48" xfId="0" applyFont="1" applyBorder="1" applyAlignment="1">
      <alignment vertical="center" wrapText="1"/>
    </xf>
    <xf numFmtId="0" fontId="205" fillId="0" borderId="48" xfId="0" applyFont="1" applyBorder="1" applyAlignment="1">
      <alignment horizontal="center" vertical="center" wrapText="1"/>
    </xf>
    <xf numFmtId="0" fontId="205" fillId="0" borderId="48" xfId="0" applyFont="1" applyBorder="1" applyAlignment="1">
      <alignment vertical="center" wrapText="1"/>
    </xf>
    <xf numFmtId="166" fontId="205" fillId="0" borderId="48" xfId="943" applyNumberFormat="1" applyFont="1" applyBorder="1" applyAlignment="1">
      <alignment horizontal="center" vertical="center" wrapText="1"/>
    </xf>
    <xf numFmtId="43" fontId="205" fillId="0" borderId="48" xfId="943" applyFont="1" applyBorder="1" applyAlignment="1">
      <alignment horizontal="center" vertical="center" wrapText="1"/>
    </xf>
    <xf numFmtId="167" fontId="205" fillId="0" borderId="48" xfId="943" applyNumberFormat="1" applyFont="1" applyBorder="1" applyAlignment="1">
      <alignment horizontal="center" vertical="center" wrapText="1"/>
    </xf>
    <xf numFmtId="0" fontId="206" fillId="0" borderId="0" xfId="0" applyFont="1"/>
    <xf numFmtId="0" fontId="204" fillId="0" borderId="48" xfId="0" applyFont="1" applyBorder="1" applyAlignment="1">
      <alignment vertical="center" wrapText="1"/>
    </xf>
    <xf numFmtId="166" fontId="204" fillId="0" borderId="48" xfId="943" applyNumberFormat="1" applyFont="1" applyBorder="1" applyAlignment="1">
      <alignment horizontal="center" vertical="center" wrapText="1"/>
    </xf>
    <xf numFmtId="43" fontId="204" fillId="0" borderId="48" xfId="943" applyFont="1" applyBorder="1" applyAlignment="1">
      <alignment horizontal="center" vertical="center" wrapText="1"/>
    </xf>
    <xf numFmtId="167" fontId="204" fillId="0" borderId="48" xfId="943" applyNumberFormat="1" applyFont="1" applyBorder="1" applyAlignment="1">
      <alignment horizontal="center" vertical="center" wrapText="1"/>
    </xf>
    <xf numFmtId="0" fontId="207" fillId="0" borderId="48" xfId="0" applyFont="1" applyBorder="1" applyAlignment="1">
      <alignment vertical="center" wrapText="1"/>
    </xf>
    <xf numFmtId="166" fontId="202" fillId="0" borderId="48" xfId="943" applyNumberFormat="1" applyFont="1" applyBorder="1"/>
    <xf numFmtId="0" fontId="204" fillId="0" borderId="49" xfId="0" applyFont="1" applyBorder="1" applyAlignment="1">
      <alignment horizontal="center" vertical="center" wrapText="1"/>
    </xf>
    <xf numFmtId="0" fontId="204" fillId="0" borderId="49" xfId="0" applyFont="1" applyBorder="1" applyAlignment="1">
      <alignment vertical="center" wrapText="1"/>
    </xf>
    <xf numFmtId="166" fontId="204" fillId="0" borderId="49" xfId="943" applyNumberFormat="1" applyFont="1" applyBorder="1" applyAlignment="1">
      <alignment horizontal="center" vertical="center" wrapText="1"/>
    </xf>
    <xf numFmtId="43" fontId="204" fillId="0" borderId="49" xfId="943" applyFont="1" applyBorder="1" applyAlignment="1">
      <alignment horizontal="center" vertical="center" wrapText="1"/>
    </xf>
    <xf numFmtId="167" fontId="204" fillId="0" borderId="49" xfId="943" applyNumberFormat="1" applyFont="1" applyBorder="1" applyAlignment="1">
      <alignment horizontal="center" vertical="center" wrapText="1"/>
    </xf>
    <xf numFmtId="0" fontId="207" fillId="0" borderId="0" xfId="0" applyFont="1" applyAlignment="1">
      <alignment horizontal="center" vertical="center" wrapText="1"/>
    </xf>
    <xf numFmtId="0" fontId="203" fillId="0" borderId="0" xfId="0" applyFont="1" applyAlignment="1">
      <alignment horizontal="center" vertical="center" wrapText="1"/>
    </xf>
    <xf numFmtId="166" fontId="202" fillId="0" borderId="0" xfId="943" applyNumberFormat="1" applyFont="1"/>
    <xf numFmtId="43" fontId="202" fillId="0" borderId="0" xfId="943" applyFont="1"/>
    <xf numFmtId="167" fontId="202" fillId="0" borderId="0" xfId="943" applyNumberFormat="1" applyFont="1"/>
    <xf numFmtId="167" fontId="203" fillId="0" borderId="0" xfId="943" applyNumberFormat="1" applyFont="1" applyAlignment="1">
      <alignment vertical="center"/>
    </xf>
    <xf numFmtId="190" fontId="208" fillId="0" borderId="0" xfId="943" applyNumberFormat="1" applyFont="1" applyAlignment="1"/>
    <xf numFmtId="167" fontId="208" fillId="0" borderId="0" xfId="943" applyNumberFormat="1" applyFont="1" applyAlignment="1"/>
    <xf numFmtId="167" fontId="1" fillId="0" borderId="0" xfId="943" applyNumberFormat="1" applyFont="1" applyAlignment="1">
      <alignment vertical="center"/>
    </xf>
    <xf numFmtId="190" fontId="208" fillId="0" borderId="0" xfId="943" applyNumberFormat="1" applyFont="1"/>
    <xf numFmtId="167" fontId="208" fillId="0" borderId="0" xfId="943" applyNumberFormat="1" applyFont="1"/>
    <xf numFmtId="167" fontId="204" fillId="0" borderId="0" xfId="943" applyNumberFormat="1" applyFont="1" applyAlignment="1">
      <alignment horizontal="center" vertical="center"/>
    </xf>
    <xf numFmtId="190" fontId="204" fillId="0" borderId="0" xfId="943" applyNumberFormat="1" applyFont="1" applyAlignment="1">
      <alignment horizontal="center" vertical="center"/>
    </xf>
    <xf numFmtId="190" fontId="207" fillId="0" borderId="0" xfId="943" applyNumberFormat="1" applyFont="1" applyAlignment="1">
      <alignment horizontal="right" vertical="center"/>
    </xf>
    <xf numFmtId="190" fontId="203" fillId="0" borderId="48" xfId="943" applyNumberFormat="1" applyFont="1" applyBorder="1" applyAlignment="1">
      <alignment horizontal="center" vertical="center" wrapText="1"/>
    </xf>
    <xf numFmtId="190" fontId="204" fillId="0" borderId="48" xfId="943" applyNumberFormat="1" applyFont="1" applyBorder="1" applyAlignment="1">
      <alignment horizontal="center" vertical="center" wrapText="1"/>
    </xf>
    <xf numFmtId="190" fontId="203" fillId="0" borderId="48" xfId="943" applyNumberFormat="1" applyFont="1" applyBorder="1" applyAlignment="1">
      <alignment vertical="center" wrapText="1"/>
    </xf>
    <xf numFmtId="190" fontId="204" fillId="0" borderId="48" xfId="943" applyNumberFormat="1" applyFont="1" applyBorder="1" applyAlignment="1">
      <alignment vertical="center" wrapText="1"/>
    </xf>
    <xf numFmtId="190" fontId="204" fillId="0" borderId="49" xfId="943" applyNumberFormat="1" applyFont="1" applyBorder="1" applyAlignment="1">
      <alignment vertical="center" wrapText="1"/>
    </xf>
    <xf numFmtId="190" fontId="204" fillId="0" borderId="49" xfId="943" applyNumberFormat="1" applyFont="1" applyBorder="1" applyAlignment="1">
      <alignment horizontal="center" vertical="center" wrapText="1"/>
    </xf>
    <xf numFmtId="167" fontId="204" fillId="0" borderId="0" xfId="943" applyNumberFormat="1" applyFont="1" applyAlignment="1">
      <alignment vertical="center"/>
    </xf>
    <xf numFmtId="2" fontId="0" fillId="0" borderId="0" xfId="0" applyNumberFormat="1"/>
    <xf numFmtId="43" fontId="223" fillId="0" borderId="4" xfId="1000" applyFont="1" applyBorder="1" applyAlignment="1">
      <alignment horizontal="center" vertical="center" wrapText="1"/>
    </xf>
    <xf numFmtId="0" fontId="225" fillId="0" borderId="0" xfId="0" applyFont="1"/>
    <xf numFmtId="0" fontId="221" fillId="0" borderId="0" xfId="0" applyFont="1"/>
    <xf numFmtId="0" fontId="229" fillId="0" borderId="0" xfId="0" applyFont="1" applyAlignment="1">
      <alignment horizontal="right" vertical="center"/>
    </xf>
    <xf numFmtId="0" fontId="230" fillId="0" borderId="0" xfId="0" applyFont="1"/>
    <xf numFmtId="0" fontId="228" fillId="0" borderId="0" xfId="0" applyFont="1"/>
    <xf numFmtId="0" fontId="230" fillId="27" borderId="0" xfId="0" applyFont="1" applyFill="1"/>
    <xf numFmtId="0" fontId="228" fillId="27" borderId="0" xfId="0" applyFont="1" applyFill="1"/>
    <xf numFmtId="191" fontId="221" fillId="27" borderId="72" xfId="1000" applyNumberFormat="1" applyFont="1" applyFill="1" applyBorder="1" applyAlignment="1">
      <alignment horizontal="center" vertical="center" wrapText="1"/>
    </xf>
    <xf numFmtId="191" fontId="223" fillId="0" borderId="0" xfId="918" applyNumberFormat="1" applyFont="1" applyFill="1" applyAlignment="1">
      <alignment horizontal="right"/>
    </xf>
    <xf numFmtId="0" fontId="238" fillId="0" borderId="0" xfId="918" applyFont="1" applyFill="1"/>
    <xf numFmtId="0" fontId="224" fillId="0" borderId="0" xfId="918" applyFont="1" applyFill="1"/>
    <xf numFmtId="0" fontId="238" fillId="27" borderId="0" xfId="918" applyFont="1" applyFill="1"/>
    <xf numFmtId="0" fontId="224" fillId="27" borderId="0" xfId="918" applyFont="1" applyFill="1"/>
    <xf numFmtId="0" fontId="238" fillId="50" borderId="0" xfId="918" applyFont="1" applyFill="1"/>
    <xf numFmtId="0" fontId="224" fillId="50" borderId="0" xfId="918" applyFont="1" applyFill="1"/>
    <xf numFmtId="43" fontId="238" fillId="0" borderId="0" xfId="943" applyFont="1" applyFill="1"/>
    <xf numFmtId="43" fontId="240" fillId="0" borderId="0" xfId="943" applyFont="1" applyFill="1"/>
    <xf numFmtId="0" fontId="241" fillId="0" borderId="0" xfId="918" applyFont="1" applyFill="1"/>
    <xf numFmtId="0" fontId="242" fillId="0" borderId="0" xfId="918" applyFont="1" applyFill="1"/>
    <xf numFmtId="0" fontId="239" fillId="0" borderId="0" xfId="918" quotePrefix="1" applyFont="1" applyFill="1" applyBorder="1"/>
    <xf numFmtId="226" fontId="223" fillId="0" borderId="0" xfId="943" applyNumberFormat="1" applyFont="1" applyFill="1" applyBorder="1"/>
    <xf numFmtId="43" fontId="223" fillId="0" borderId="0" xfId="943" applyFont="1" applyFill="1" applyBorder="1"/>
    <xf numFmtId="43" fontId="233" fillId="0" borderId="0" xfId="943" applyFont="1" applyAlignment="1"/>
    <xf numFmtId="167" fontId="233" fillId="0" borderId="0" xfId="943" applyNumberFormat="1" applyFont="1" applyAlignment="1"/>
    <xf numFmtId="167" fontId="233" fillId="0" borderId="0" xfId="943" applyNumberFormat="1" applyFont="1" applyAlignment="1">
      <alignment horizontal="center" vertical="center"/>
    </xf>
    <xf numFmtId="167" fontId="233" fillId="0" borderId="0" xfId="943" applyNumberFormat="1" applyFont="1"/>
    <xf numFmtId="43" fontId="233" fillId="0" borderId="0" xfId="943" applyFont="1"/>
    <xf numFmtId="190" fontId="233" fillId="0" borderId="0" xfId="943" applyNumberFormat="1" applyFont="1"/>
    <xf numFmtId="167" fontId="233" fillId="0" borderId="0" xfId="943" applyNumberFormat="1" applyFont="1" applyAlignment="1">
      <alignment horizontal="center"/>
    </xf>
    <xf numFmtId="167" fontId="243" fillId="0" borderId="0" xfId="943" applyNumberFormat="1" applyFont="1" applyAlignment="1">
      <alignment horizontal="right" vertical="center"/>
    </xf>
    <xf numFmtId="167" fontId="236" fillId="50" borderId="53" xfId="943" applyNumberFormat="1" applyFont="1" applyFill="1" applyBorder="1" applyAlignment="1">
      <alignment horizontal="center" vertical="center" wrapText="1"/>
    </xf>
    <xf numFmtId="167" fontId="236" fillId="50" borderId="53" xfId="943" applyNumberFormat="1" applyFont="1" applyFill="1" applyBorder="1" applyAlignment="1">
      <alignment vertical="center" wrapText="1"/>
    </xf>
    <xf numFmtId="43" fontId="236" fillId="50" borderId="53" xfId="943" applyFont="1" applyFill="1" applyBorder="1" applyAlignment="1">
      <alignment horizontal="center" vertical="center" wrapText="1"/>
    </xf>
    <xf numFmtId="190" fontId="236" fillId="50" borderId="53" xfId="943" applyNumberFormat="1" applyFont="1" applyFill="1" applyBorder="1" applyAlignment="1">
      <alignment horizontal="center" vertical="center" wrapText="1"/>
    </xf>
    <xf numFmtId="167" fontId="236" fillId="50" borderId="68" xfId="943" applyNumberFormat="1" applyFont="1" applyFill="1" applyBorder="1" applyAlignment="1">
      <alignment horizontal="center" vertical="center" wrapText="1"/>
    </xf>
    <xf numFmtId="167" fontId="233" fillId="50" borderId="0" xfId="943" applyNumberFormat="1" applyFont="1" applyFill="1"/>
    <xf numFmtId="167" fontId="233" fillId="0" borderId="48" xfId="943" applyNumberFormat="1" applyFont="1" applyBorder="1" applyAlignment="1">
      <alignment horizontal="center" vertical="center" wrapText="1"/>
    </xf>
    <xf numFmtId="167" fontId="233" fillId="0" borderId="48" xfId="943" applyNumberFormat="1" applyFont="1" applyBorder="1" applyAlignment="1">
      <alignment vertical="center" wrapText="1"/>
    </xf>
    <xf numFmtId="43" fontId="233" fillId="0" borderId="48" xfId="943" applyFont="1" applyBorder="1" applyAlignment="1">
      <alignment horizontal="center" vertical="center" wrapText="1"/>
    </xf>
    <xf numFmtId="190" fontId="233" fillId="0" borderId="48" xfId="943" applyNumberFormat="1" applyFont="1" applyBorder="1" applyAlignment="1">
      <alignment horizontal="center" vertical="center" wrapText="1"/>
    </xf>
    <xf numFmtId="167" fontId="233" fillId="0" borderId="69" xfId="943" applyNumberFormat="1" applyFont="1" applyBorder="1" applyAlignment="1">
      <alignment horizontal="center" vertical="center" wrapText="1"/>
    </xf>
    <xf numFmtId="167" fontId="236" fillId="50" borderId="48" xfId="943" applyNumberFormat="1" applyFont="1" applyFill="1" applyBorder="1" applyAlignment="1">
      <alignment horizontal="center" vertical="center" wrapText="1"/>
    </xf>
    <xf numFmtId="167" fontId="236" fillId="50" borderId="48" xfId="943" applyNumberFormat="1" applyFont="1" applyFill="1" applyBorder="1" applyAlignment="1">
      <alignment vertical="center" wrapText="1"/>
    </xf>
    <xf numFmtId="167" fontId="236" fillId="50" borderId="69" xfId="943" applyNumberFormat="1" applyFont="1" applyFill="1" applyBorder="1" applyAlignment="1">
      <alignment horizontal="center" vertical="center" wrapText="1"/>
    </xf>
    <xf numFmtId="167" fontId="236" fillId="50" borderId="0" xfId="943" applyNumberFormat="1" applyFont="1" applyFill="1"/>
    <xf numFmtId="167" fontId="236" fillId="0" borderId="48" xfId="943" applyNumberFormat="1" applyFont="1" applyBorder="1" applyAlignment="1">
      <alignment horizontal="center" vertical="center" wrapText="1"/>
    </xf>
    <xf numFmtId="167" fontId="236" fillId="0" borderId="48" xfId="943" applyNumberFormat="1" applyFont="1" applyBorder="1" applyAlignment="1">
      <alignment vertical="center" wrapText="1"/>
    </xf>
    <xf numFmtId="43" fontId="236" fillId="0" borderId="48" xfId="943" applyFont="1" applyBorder="1" applyAlignment="1">
      <alignment horizontal="center" vertical="center" wrapText="1"/>
    </xf>
    <xf numFmtId="190" fontId="236" fillId="0" borderId="48" xfId="943" applyNumberFormat="1" applyFont="1" applyBorder="1" applyAlignment="1">
      <alignment horizontal="center" vertical="center" wrapText="1"/>
    </xf>
    <xf numFmtId="167" fontId="236" fillId="0" borderId="69" xfId="943" applyNumberFormat="1" applyFont="1" applyBorder="1" applyAlignment="1">
      <alignment horizontal="center" vertical="center" wrapText="1"/>
    </xf>
    <xf numFmtId="167" fontId="236" fillId="0" borderId="0" xfId="943" applyNumberFormat="1" applyFont="1"/>
    <xf numFmtId="167" fontId="233" fillId="0" borderId="48" xfId="943" applyNumberFormat="1" applyFont="1" applyBorder="1"/>
    <xf numFmtId="167" fontId="233" fillId="50" borderId="48" xfId="943" applyNumberFormat="1" applyFont="1" applyFill="1" applyBorder="1"/>
    <xf numFmtId="167" fontId="233" fillId="27" borderId="69" xfId="1000" applyNumberFormat="1" applyFont="1" applyFill="1" applyBorder="1" applyAlignment="1">
      <alignment horizontal="center" vertical="center" wrapText="1"/>
    </xf>
    <xf numFmtId="167" fontId="236" fillId="0" borderId="69" xfId="943" applyNumberFormat="1" applyFont="1" applyFill="1" applyBorder="1" applyAlignment="1">
      <alignment horizontal="center" vertical="center" wrapText="1"/>
    </xf>
    <xf numFmtId="43" fontId="239" fillId="0" borderId="69" xfId="943" applyFont="1" applyBorder="1"/>
    <xf numFmtId="43" fontId="236" fillId="50" borderId="48" xfId="943" applyFont="1" applyFill="1" applyBorder="1" applyAlignment="1">
      <alignment horizontal="center" vertical="center" wrapText="1"/>
    </xf>
    <xf numFmtId="190" fontId="236" fillId="50" borderId="48" xfId="943" applyNumberFormat="1" applyFont="1" applyFill="1" applyBorder="1" applyAlignment="1">
      <alignment horizontal="center" vertical="center" wrapText="1"/>
    </xf>
    <xf numFmtId="167" fontId="236" fillId="50" borderId="0" xfId="943" applyNumberFormat="1" applyFont="1" applyFill="1" applyAlignment="1">
      <alignment vertical="center"/>
    </xf>
    <xf numFmtId="167" fontId="236" fillId="0" borderId="0" xfId="943" applyNumberFormat="1" applyFont="1" applyAlignment="1">
      <alignment vertical="center"/>
    </xf>
    <xf numFmtId="167" fontId="233" fillId="0" borderId="48" xfId="943" applyNumberFormat="1" applyFont="1" applyFill="1" applyBorder="1" applyAlignment="1">
      <alignment horizontal="center" vertical="center" wrapText="1"/>
    </xf>
    <xf numFmtId="167" fontId="233" fillId="0" borderId="48" xfId="943" applyNumberFormat="1" applyFont="1" applyFill="1" applyBorder="1" applyAlignment="1">
      <alignment vertical="center" wrapText="1"/>
    </xf>
    <xf numFmtId="43" fontId="233" fillId="0" borderId="48" xfId="943" applyFont="1" applyFill="1" applyBorder="1" applyAlignment="1">
      <alignment horizontal="center" vertical="center" wrapText="1"/>
    </xf>
    <xf numFmtId="190" fontId="233" fillId="0" borderId="48" xfId="943" applyNumberFormat="1" applyFont="1" applyFill="1" applyBorder="1" applyAlignment="1">
      <alignment horizontal="center" vertical="center" wrapText="1"/>
    </xf>
    <xf numFmtId="167" fontId="233" fillId="0" borderId="69" xfId="943" applyNumberFormat="1" applyFont="1" applyBorder="1"/>
    <xf numFmtId="167" fontId="233" fillId="0" borderId="0" xfId="943" applyNumberFormat="1" applyFont="1" applyFill="1"/>
    <xf numFmtId="167" fontId="233" fillId="0" borderId="69" xfId="943" applyNumberFormat="1" applyFont="1" applyFill="1" applyBorder="1" applyAlignment="1">
      <alignment horizontal="center" vertical="center" wrapText="1"/>
    </xf>
    <xf numFmtId="167" fontId="236" fillId="0" borderId="49" xfId="943" applyNumberFormat="1" applyFont="1" applyBorder="1" applyAlignment="1">
      <alignment horizontal="center" vertical="center" wrapText="1"/>
    </xf>
    <xf numFmtId="167" fontId="236" fillId="0" borderId="49" xfId="943" applyNumberFormat="1" applyFont="1" applyBorder="1" applyAlignment="1">
      <alignment vertical="center" wrapText="1"/>
    </xf>
    <xf numFmtId="0" fontId="236" fillId="0" borderId="49" xfId="943" applyNumberFormat="1" applyFont="1" applyBorder="1" applyAlignment="1">
      <alignment horizontal="right" vertical="center" wrapText="1"/>
    </xf>
    <xf numFmtId="190" fontId="236" fillId="0" borderId="49" xfId="943" applyNumberFormat="1" applyFont="1" applyBorder="1" applyAlignment="1">
      <alignment horizontal="center" vertical="center" wrapText="1"/>
    </xf>
    <xf numFmtId="167" fontId="243" fillId="0" borderId="0" xfId="943" applyNumberFormat="1" applyFont="1" applyAlignment="1">
      <alignment horizontal="center" vertical="center"/>
    </xf>
    <xf numFmtId="0" fontId="236" fillId="0" borderId="1" xfId="943" applyNumberFormat="1" applyFont="1" applyBorder="1" applyAlignment="1">
      <alignment horizontal="center" vertical="center" wrapText="1"/>
    </xf>
    <xf numFmtId="0" fontId="236" fillId="0" borderId="60" xfId="943" applyNumberFormat="1" applyFont="1" applyBorder="1" applyAlignment="1">
      <alignment horizontal="center" vertical="center" wrapText="1"/>
    </xf>
    <xf numFmtId="167" fontId="223" fillId="0" borderId="0" xfId="943" applyNumberFormat="1" applyFont="1" applyAlignment="1"/>
    <xf numFmtId="167" fontId="223" fillId="0" borderId="0" xfId="943" applyNumberFormat="1" applyFont="1" applyAlignment="1">
      <alignment horizontal="center" vertical="center"/>
    </xf>
    <xf numFmtId="167" fontId="223" fillId="0" borderId="0" xfId="943" applyNumberFormat="1" applyFont="1"/>
    <xf numFmtId="167" fontId="239" fillId="0" borderId="0" xfId="943" applyNumberFormat="1" applyFont="1"/>
    <xf numFmtId="167" fontId="233" fillId="0" borderId="60" xfId="943" applyNumberFormat="1" applyFont="1" applyBorder="1" applyAlignment="1">
      <alignment horizontal="center" vertical="center" wrapText="1"/>
    </xf>
    <xf numFmtId="0" fontId="233" fillId="0" borderId="60" xfId="943" applyNumberFormat="1" applyFont="1" applyBorder="1" applyAlignment="1">
      <alignment horizontal="center" vertical="center" wrapText="1"/>
    </xf>
    <xf numFmtId="167" fontId="236" fillId="0" borderId="53" xfId="943" applyNumberFormat="1" applyFont="1" applyBorder="1" applyAlignment="1">
      <alignment horizontal="center" vertical="center" wrapText="1"/>
    </xf>
    <xf numFmtId="167" fontId="223" fillId="0" borderId="0" xfId="943" applyNumberFormat="1" applyFont="1" applyBorder="1" applyAlignment="1"/>
    <xf numFmtId="167" fontId="223" fillId="0" borderId="55" xfId="943" applyNumberFormat="1" applyFont="1" applyBorder="1"/>
    <xf numFmtId="167" fontId="223" fillId="0" borderId="0" xfId="943" applyNumberFormat="1" applyFont="1" applyBorder="1"/>
    <xf numFmtId="167" fontId="239" fillId="0" borderId="55" xfId="943" applyNumberFormat="1" applyFont="1" applyBorder="1"/>
    <xf numFmtId="167" fontId="239" fillId="0" borderId="0" xfId="943" applyNumberFormat="1" applyFont="1" applyBorder="1"/>
    <xf numFmtId="167" fontId="223" fillId="0" borderId="50" xfId="943" applyNumberFormat="1" applyFont="1" applyBorder="1" applyAlignment="1">
      <alignment horizontal="center" vertical="center"/>
    </xf>
    <xf numFmtId="167" fontId="223" fillId="0" borderId="50" xfId="943" applyNumberFormat="1" applyFont="1" applyBorder="1"/>
    <xf numFmtId="0" fontId="222" fillId="0" borderId="0" xfId="0" applyFont="1" applyAlignment="1">
      <alignment horizontal="right" vertical="center" wrapText="1"/>
    </xf>
    <xf numFmtId="0" fontId="229" fillId="0" borderId="50" xfId="0" applyFont="1" applyBorder="1" applyAlignment="1">
      <alignment vertical="center"/>
    </xf>
    <xf numFmtId="0" fontId="220" fillId="27" borderId="53" xfId="0" applyFont="1" applyFill="1" applyBorder="1" applyAlignment="1">
      <alignment horizontal="center" vertical="center" wrapText="1"/>
    </xf>
    <xf numFmtId="0" fontId="220" fillId="27" borderId="53" xfId="0" applyFont="1" applyFill="1" applyBorder="1" applyAlignment="1">
      <alignment vertical="center" wrapText="1"/>
    </xf>
    <xf numFmtId="191" fontId="220" fillId="27" borderId="53" xfId="1000" applyNumberFormat="1" applyFont="1" applyFill="1" applyBorder="1" applyAlignment="1">
      <alignment horizontal="center" vertical="center" wrapText="1"/>
    </xf>
    <xf numFmtId="191" fontId="220" fillId="27" borderId="68" xfId="1000" applyNumberFormat="1" applyFont="1" applyFill="1" applyBorder="1" applyAlignment="1">
      <alignment horizontal="center" vertical="center" wrapText="1"/>
    </xf>
    <xf numFmtId="0" fontId="220" fillId="27" borderId="48" xfId="0" applyFont="1" applyFill="1" applyBorder="1" applyAlignment="1">
      <alignment horizontal="center" vertical="center" wrapText="1"/>
    </xf>
    <xf numFmtId="0" fontId="220" fillId="27" borderId="48" xfId="0" applyFont="1" applyFill="1" applyBorder="1" applyAlignment="1">
      <alignment vertical="center" wrapText="1"/>
    </xf>
    <xf numFmtId="191" fontId="220" fillId="27" borderId="48" xfId="1000" applyNumberFormat="1" applyFont="1" applyFill="1" applyBorder="1" applyAlignment="1">
      <alignment horizontal="center" vertical="center" wrapText="1"/>
    </xf>
    <xf numFmtId="191" fontId="220" fillId="27" borderId="69" xfId="1000" applyNumberFormat="1" applyFont="1" applyFill="1" applyBorder="1" applyAlignment="1">
      <alignment horizontal="center" vertical="center" wrapText="1"/>
    </xf>
    <xf numFmtId="0" fontId="221" fillId="27" borderId="48" xfId="0" applyFont="1" applyFill="1" applyBorder="1" applyAlignment="1">
      <alignment horizontal="center" vertical="center" wrapText="1"/>
    </xf>
    <xf numFmtId="0" fontId="244" fillId="27" borderId="48" xfId="0" applyFont="1" applyFill="1" applyBorder="1" applyAlignment="1">
      <alignment vertical="center" wrapText="1"/>
    </xf>
    <xf numFmtId="191" fontId="221" fillId="27" borderId="48" xfId="1000" applyNumberFormat="1" applyFont="1" applyFill="1" applyBorder="1" applyAlignment="1">
      <alignment horizontal="center" vertical="center" wrapText="1"/>
    </xf>
    <xf numFmtId="191" fontId="221" fillId="27" borderId="69" xfId="1000" applyNumberFormat="1" applyFont="1" applyFill="1" applyBorder="1" applyAlignment="1">
      <alignment horizontal="center" vertical="center" wrapText="1"/>
    </xf>
    <xf numFmtId="0" fontId="221" fillId="27" borderId="48" xfId="0" applyFont="1" applyFill="1" applyBorder="1" applyAlignment="1">
      <alignment vertical="center" wrapText="1"/>
    </xf>
    <xf numFmtId="191" fontId="228" fillId="0" borderId="0" xfId="0" applyNumberFormat="1" applyFont="1"/>
    <xf numFmtId="0" fontId="244" fillId="27" borderId="48" xfId="0" applyFont="1" applyFill="1" applyBorder="1" applyAlignment="1">
      <alignment horizontal="center" vertical="center" wrapText="1"/>
    </xf>
    <xf numFmtId="191" fontId="230" fillId="0" borderId="0" xfId="0" applyNumberFormat="1" applyFont="1"/>
    <xf numFmtId="0" fontId="244" fillId="27" borderId="48" xfId="0" quotePrefix="1" applyFont="1" applyFill="1" applyBorder="1" applyAlignment="1">
      <alignment horizontal="center" vertical="center" wrapText="1"/>
    </xf>
    <xf numFmtId="167" fontId="221" fillId="27" borderId="48" xfId="943" applyNumberFormat="1" applyFont="1" applyFill="1" applyBorder="1" applyAlignment="1">
      <alignment horizontal="center" vertical="center" wrapText="1"/>
    </xf>
    <xf numFmtId="167" fontId="220" fillId="0" borderId="48" xfId="1000" applyNumberFormat="1" applyFont="1" applyFill="1" applyBorder="1" applyAlignment="1">
      <alignment horizontal="center" vertical="center" wrapText="1"/>
    </xf>
    <xf numFmtId="0" fontId="231" fillId="0" borderId="0" xfId="0" applyFont="1" applyAlignment="1">
      <alignment vertical="center"/>
    </xf>
    <xf numFmtId="0" fontId="230" fillId="0" borderId="0" xfId="0" applyFont="1" applyAlignment="1">
      <alignment vertical="center"/>
    </xf>
    <xf numFmtId="0" fontId="220" fillId="27" borderId="1" xfId="0" applyFont="1" applyFill="1" applyBorder="1" applyAlignment="1">
      <alignment horizontal="center" vertical="center" wrapText="1"/>
    </xf>
    <xf numFmtId="0" fontId="221" fillId="27" borderId="1" xfId="0" applyFont="1" applyFill="1" applyBorder="1" applyAlignment="1">
      <alignment horizontal="center" vertical="center" wrapText="1"/>
    </xf>
    <xf numFmtId="0" fontId="221" fillId="27" borderId="49" xfId="0" applyFont="1" applyFill="1" applyBorder="1" applyAlignment="1">
      <alignment horizontal="center" vertical="center" wrapText="1"/>
    </xf>
    <xf numFmtId="0" fontId="221" fillId="27" borderId="49" xfId="0" applyFont="1" applyFill="1" applyBorder="1" applyAlignment="1">
      <alignment vertical="center" wrapText="1"/>
    </xf>
    <xf numFmtId="191" fontId="221" fillId="27" borderId="49" xfId="1000" applyNumberFormat="1" applyFont="1" applyFill="1" applyBorder="1" applyAlignment="1">
      <alignment horizontal="center" vertical="center" wrapText="1"/>
    </xf>
    <xf numFmtId="0" fontId="221" fillId="27" borderId="1" xfId="0" applyNumberFormat="1" applyFont="1" applyFill="1" applyBorder="1" applyAlignment="1">
      <alignment horizontal="center" vertical="center" wrapText="1"/>
    </xf>
    <xf numFmtId="0" fontId="221" fillId="27" borderId="60" xfId="0" applyNumberFormat="1" applyFont="1" applyFill="1" applyBorder="1" applyAlignment="1">
      <alignment horizontal="center" vertical="center" wrapText="1"/>
    </xf>
    <xf numFmtId="167" fontId="245" fillId="0" borderId="0" xfId="943" applyNumberFormat="1" applyFont="1" applyFill="1"/>
    <xf numFmtId="43" fontId="245" fillId="0" borderId="0" xfId="943" applyFont="1" applyFill="1"/>
    <xf numFmtId="43" fontId="246" fillId="0" borderId="0" xfId="943" applyFont="1" applyFill="1" applyAlignment="1">
      <alignment horizontal="center"/>
    </xf>
    <xf numFmtId="43" fontId="246" fillId="0" borderId="0" xfId="943" applyFont="1" applyFill="1"/>
    <xf numFmtId="167" fontId="237" fillId="0" borderId="0" xfId="943" applyNumberFormat="1" applyFont="1" applyFill="1"/>
    <xf numFmtId="167" fontId="245" fillId="0" borderId="0" xfId="943" applyNumberFormat="1" applyFont="1" applyFill="1" applyAlignment="1">
      <alignment horizontal="center"/>
    </xf>
    <xf numFmtId="43" fontId="223" fillId="0" borderId="0" xfId="943" applyFont="1" applyFill="1"/>
    <xf numFmtId="167" fontId="223" fillId="0" borderId="0" xfId="943" applyNumberFormat="1" applyFont="1" applyFill="1" applyAlignment="1">
      <alignment horizontal="left"/>
    </xf>
    <xf numFmtId="305" fontId="223" fillId="0" borderId="0" xfId="943" applyNumberFormat="1" applyFont="1" applyFill="1"/>
    <xf numFmtId="167" fontId="223" fillId="0" borderId="0" xfId="943" applyNumberFormat="1" applyFont="1" applyFill="1"/>
    <xf numFmtId="181" fontId="234" fillId="0" borderId="0" xfId="943" applyNumberFormat="1" applyFont="1" applyFill="1" applyAlignment="1">
      <alignment horizontal="center"/>
    </xf>
    <xf numFmtId="43" fontId="234" fillId="0" borderId="0" xfId="943" applyFont="1" applyFill="1"/>
    <xf numFmtId="167" fontId="232" fillId="0" borderId="0" xfId="943" applyNumberFormat="1" applyFont="1" applyFill="1"/>
    <xf numFmtId="181" fontId="223" fillId="0" borderId="0" xfId="943" applyNumberFormat="1" applyFont="1" applyFill="1" applyBorder="1" applyAlignment="1">
      <alignment horizontal="center"/>
    </xf>
    <xf numFmtId="309" fontId="232" fillId="0" borderId="0" xfId="943" applyNumberFormat="1" applyFont="1" applyFill="1"/>
    <xf numFmtId="43" fontId="223" fillId="0" borderId="0" xfId="943" applyFont="1" applyFill="1" applyBorder="1" applyAlignment="1">
      <alignment horizontal="center"/>
    </xf>
    <xf numFmtId="43" fontId="223" fillId="0" borderId="50" xfId="943" applyFont="1" applyFill="1" applyBorder="1" applyAlignment="1">
      <alignment horizontal="center"/>
    </xf>
    <xf numFmtId="43" fontId="245" fillId="0" borderId="0" xfId="943" applyFont="1" applyFill="1" applyAlignment="1">
      <alignment horizontal="left"/>
    </xf>
    <xf numFmtId="43" fontId="245" fillId="0" borderId="0" xfId="943" applyFont="1" applyFill="1" applyAlignment="1">
      <alignment horizontal="center" vertical="center"/>
    </xf>
    <xf numFmtId="43" fontId="232" fillId="0" borderId="0" xfId="943" applyFont="1" applyFill="1" applyAlignment="1">
      <alignment horizontal="center" vertical="center"/>
    </xf>
    <xf numFmtId="167" fontId="239" fillId="0" borderId="27" xfId="943" applyNumberFormat="1" applyFont="1" applyFill="1" applyBorder="1" applyAlignment="1">
      <alignment horizontal="center" vertical="center"/>
    </xf>
    <xf numFmtId="43" fontId="239" fillId="0" borderId="27" xfId="943" applyFont="1" applyFill="1" applyBorder="1" applyAlignment="1">
      <alignment horizontal="center" vertical="center"/>
    </xf>
    <xf numFmtId="43" fontId="234" fillId="0" borderId="0" xfId="943" applyFont="1" applyFill="1" applyAlignment="1">
      <alignment horizontal="center" vertical="center"/>
    </xf>
    <xf numFmtId="167" fontId="239" fillId="0" borderId="52" xfId="943" applyNumberFormat="1" applyFont="1" applyFill="1" applyBorder="1" applyAlignment="1">
      <alignment horizontal="center" vertical="center"/>
    </xf>
    <xf numFmtId="166" fontId="239" fillId="0" borderId="52" xfId="943" applyNumberFormat="1" applyFont="1" applyFill="1" applyBorder="1" applyAlignment="1">
      <alignment horizontal="left" vertical="center"/>
    </xf>
    <xf numFmtId="167" fontId="239" fillId="0" borderId="52" xfId="943" applyNumberFormat="1" applyFont="1" applyFill="1" applyBorder="1" applyAlignment="1">
      <alignment horizontal="right" vertical="center"/>
    </xf>
    <xf numFmtId="43" fontId="239" fillId="0" borderId="67" xfId="943" applyFont="1" applyFill="1" applyBorder="1" applyAlignment="1">
      <alignment horizontal="center" vertical="center"/>
    </xf>
    <xf numFmtId="43" fontId="239" fillId="0" borderId="52" xfId="943" applyFont="1" applyFill="1" applyBorder="1" applyAlignment="1">
      <alignment horizontal="right" vertical="center"/>
    </xf>
    <xf numFmtId="167" fontId="246" fillId="0" borderId="0" xfId="943" applyNumberFormat="1" applyFont="1" applyFill="1"/>
    <xf numFmtId="167" fontId="239" fillId="0" borderId="48" xfId="943" applyNumberFormat="1" applyFont="1" applyFill="1" applyBorder="1" applyAlignment="1">
      <alignment horizontal="center" vertical="center"/>
    </xf>
    <xf numFmtId="43" fontId="239" fillId="0" borderId="48" xfId="943" applyFont="1" applyFill="1" applyBorder="1" applyAlignment="1">
      <alignment horizontal="left" vertical="center"/>
    </xf>
    <xf numFmtId="167" fontId="239" fillId="0" borderId="48" xfId="943" applyNumberFormat="1" applyFont="1" applyFill="1" applyBorder="1" applyAlignment="1">
      <alignment horizontal="right" vertical="center"/>
    </xf>
    <xf numFmtId="43" fontId="239" fillId="0" borderId="69" xfId="943" applyFont="1" applyFill="1" applyBorder="1" applyAlignment="1">
      <alignment horizontal="center" vertical="center"/>
    </xf>
    <xf numFmtId="43" fontId="239" fillId="0" borderId="48" xfId="943" applyFont="1" applyFill="1" applyBorder="1" applyAlignment="1">
      <alignment horizontal="right" vertical="center"/>
    </xf>
    <xf numFmtId="167" fontId="239" fillId="0" borderId="48" xfId="943" quotePrefix="1" applyNumberFormat="1" applyFont="1" applyFill="1" applyBorder="1" applyAlignment="1">
      <alignment horizontal="center" vertical="center"/>
    </xf>
    <xf numFmtId="43" fontId="239" fillId="0" borderId="48" xfId="943" applyFont="1" applyFill="1" applyBorder="1" applyAlignment="1">
      <alignment horizontal="left" vertical="center" wrapText="1"/>
    </xf>
    <xf numFmtId="43" fontId="239" fillId="0" borderId="48" xfId="943" applyFont="1" applyFill="1" applyBorder="1" applyAlignment="1">
      <alignment horizontal="center" vertical="center" wrapText="1"/>
    </xf>
    <xf numFmtId="43" fontId="234" fillId="0" borderId="48" xfId="943" applyFont="1" applyFill="1" applyBorder="1" applyAlignment="1">
      <alignment horizontal="center" vertical="center" wrapText="1"/>
    </xf>
    <xf numFmtId="43" fontId="236" fillId="0" borderId="48" xfId="943" applyFont="1" applyFill="1" applyBorder="1" applyAlignment="1">
      <alignment horizontal="left" vertical="center" wrapText="1"/>
    </xf>
    <xf numFmtId="165" fontId="239" fillId="0" borderId="48" xfId="943" quotePrefix="1" applyNumberFormat="1" applyFont="1" applyFill="1" applyBorder="1" applyAlignment="1">
      <alignment horizontal="right" vertical="center"/>
    </xf>
    <xf numFmtId="43" fontId="236" fillId="0" borderId="4" xfId="943" applyFont="1" applyFill="1" applyBorder="1" applyAlignment="1">
      <alignment horizontal="left" vertical="center" wrapText="1"/>
    </xf>
    <xf numFmtId="43" fontId="239" fillId="0" borderId="4" xfId="943" applyFont="1" applyFill="1" applyBorder="1" applyAlignment="1">
      <alignment horizontal="left" vertical="center" wrapText="1"/>
    </xf>
    <xf numFmtId="43" fontId="239" fillId="0" borderId="1" xfId="943" applyFont="1" applyFill="1" applyBorder="1" applyAlignment="1">
      <alignment vertical="center" wrapText="1"/>
    </xf>
    <xf numFmtId="0" fontId="239" fillId="0" borderId="69" xfId="0" applyFont="1" applyFill="1" applyBorder="1" applyAlignment="1">
      <alignment horizontal="left" vertical="center"/>
    </xf>
    <xf numFmtId="43" fontId="236" fillId="0" borderId="48" xfId="943" applyFont="1" applyFill="1" applyBorder="1" applyAlignment="1">
      <alignment vertical="center" wrapText="1"/>
    </xf>
    <xf numFmtId="43" fontId="246" fillId="0" borderId="0" xfId="943" applyFont="1" applyFill="1" applyAlignment="1">
      <alignment vertical="center"/>
    </xf>
    <xf numFmtId="43" fontId="236" fillId="0" borderId="48" xfId="943" applyFont="1" applyFill="1" applyBorder="1" applyAlignment="1">
      <alignment vertical="center"/>
    </xf>
    <xf numFmtId="43" fontId="239" fillId="0" borderId="48" xfId="943" applyFont="1" applyFill="1" applyBorder="1"/>
    <xf numFmtId="43" fontId="247" fillId="0" borderId="0" xfId="943" applyFont="1" applyFill="1"/>
    <xf numFmtId="0" fontId="239" fillId="0" borderId="48" xfId="943" applyNumberFormat="1" applyFont="1" applyFill="1" applyBorder="1" applyAlignment="1">
      <alignment horizontal="left" vertical="center" wrapText="1"/>
    </xf>
    <xf numFmtId="43" fontId="239" fillId="0" borderId="48" xfId="943" applyFont="1" applyFill="1" applyBorder="1" applyAlignment="1">
      <alignment vertical="center" wrapText="1"/>
    </xf>
    <xf numFmtId="43" fontId="239" fillId="0" borderId="51" xfId="943" applyFont="1" applyFill="1" applyBorder="1" applyAlignment="1">
      <alignment horizontal="center" vertical="center"/>
    </xf>
    <xf numFmtId="0" fontId="239" fillId="0" borderId="48" xfId="0" quotePrefix="1" applyFont="1" applyFill="1" applyBorder="1" applyAlignment="1">
      <alignment horizontal="center" vertical="center"/>
    </xf>
    <xf numFmtId="0" fontId="239" fillId="0" borderId="48" xfId="0" applyFont="1" applyFill="1" applyBorder="1" applyAlignment="1">
      <alignment wrapText="1"/>
    </xf>
    <xf numFmtId="43" fontId="239" fillId="0" borderId="48" xfId="1000" applyFont="1" applyFill="1" applyBorder="1" applyAlignment="1">
      <alignment horizontal="center" vertical="center"/>
    </xf>
    <xf numFmtId="191" fontId="239" fillId="0" borderId="48" xfId="1000" applyNumberFormat="1" applyFont="1" applyFill="1" applyBorder="1" applyAlignment="1">
      <alignment horizontal="right" vertical="center"/>
    </xf>
    <xf numFmtId="0" fontId="239" fillId="0" borderId="51" xfId="0" applyFont="1" applyFill="1" applyBorder="1" applyAlignment="1">
      <alignment horizontal="center" vertical="center"/>
    </xf>
    <xf numFmtId="0" fontId="246" fillId="0" borderId="0" xfId="0" applyFont="1" applyFill="1"/>
    <xf numFmtId="0" fontId="239" fillId="0" borderId="48" xfId="0" applyFont="1" applyFill="1" applyBorder="1" applyAlignment="1">
      <alignment horizontal="center" vertical="center"/>
    </xf>
    <xf numFmtId="0" fontId="239" fillId="0" borderId="48" xfId="0" applyFont="1" applyFill="1" applyBorder="1" applyAlignment="1">
      <alignment vertical="center" wrapText="1"/>
    </xf>
    <xf numFmtId="43" fontId="239" fillId="0" borderId="48" xfId="943" applyFont="1" applyFill="1" applyBorder="1" applyAlignment="1">
      <alignment vertical="center"/>
    </xf>
    <xf numFmtId="43" fontId="239" fillId="0" borderId="48" xfId="943" quotePrefix="1" applyFont="1" applyFill="1" applyBorder="1" applyAlignment="1">
      <alignment horizontal="left" vertical="center"/>
    </xf>
    <xf numFmtId="43" fontId="239" fillId="0" borderId="4" xfId="943" applyFont="1" applyFill="1" applyBorder="1" applyAlignment="1">
      <alignment vertical="center" wrapText="1"/>
    </xf>
    <xf numFmtId="43" fontId="234" fillId="0" borderId="48" xfId="943" applyFont="1" applyFill="1" applyBorder="1" applyAlignment="1">
      <alignment horizontal="center" vertical="center"/>
    </xf>
    <xf numFmtId="217" fontId="239" fillId="0" borderId="48" xfId="943" applyNumberFormat="1" applyFont="1" applyFill="1" applyBorder="1" applyAlignment="1">
      <alignment horizontal="right" vertical="center"/>
    </xf>
    <xf numFmtId="43" fontId="246" fillId="0" borderId="48" xfId="943" applyFont="1" applyFill="1" applyBorder="1" applyAlignment="1">
      <alignment vertical="center" wrapText="1"/>
    </xf>
    <xf numFmtId="43" fontId="246" fillId="0" borderId="48" xfId="943" applyFont="1" applyFill="1" applyBorder="1" applyAlignment="1">
      <alignment horizontal="left" vertical="center" wrapText="1"/>
    </xf>
    <xf numFmtId="43" fontId="236" fillId="0" borderId="0" xfId="943" applyFont="1" applyFill="1" applyAlignment="1">
      <alignment vertical="center" wrapText="1"/>
    </xf>
    <xf numFmtId="43" fontId="239" fillId="0" borderId="48" xfId="943" applyFont="1" applyFill="1" applyBorder="1" applyAlignment="1">
      <alignment horizontal="center"/>
    </xf>
    <xf numFmtId="43" fontId="239" fillId="0" borderId="70" xfId="943" applyFont="1" applyFill="1" applyBorder="1" applyAlignment="1">
      <alignment horizontal="left" vertical="center" wrapText="1"/>
    </xf>
    <xf numFmtId="43" fontId="239" fillId="0" borderId="69" xfId="943" applyFont="1" applyFill="1" applyBorder="1" applyAlignment="1">
      <alignment horizontal="left" vertical="center" wrapText="1"/>
    </xf>
    <xf numFmtId="43" fontId="239" fillId="0" borderId="68" xfId="943" applyFont="1" applyFill="1" applyBorder="1" applyAlignment="1">
      <alignment horizontal="left" vertical="center" wrapText="1"/>
    </xf>
    <xf numFmtId="167" fontId="239" fillId="0" borderId="48" xfId="943" quotePrefix="1" applyNumberFormat="1" applyFont="1" applyFill="1" applyBorder="1" applyAlignment="1">
      <alignment horizontal="right" vertical="center"/>
    </xf>
    <xf numFmtId="43" fontId="236" fillId="0" borderId="48" xfId="943" applyFont="1" applyFill="1" applyBorder="1" applyAlignment="1">
      <alignment horizontal="right" vertical="center"/>
    </xf>
    <xf numFmtId="43" fontId="232" fillId="0" borderId="48" xfId="943" applyFont="1" applyFill="1" applyBorder="1" applyAlignment="1">
      <alignment horizontal="center" vertical="center" wrapText="1"/>
    </xf>
    <xf numFmtId="43" fontId="236" fillId="0" borderId="48" xfId="943" applyFont="1" applyFill="1" applyBorder="1" applyAlignment="1">
      <alignment horizontal="left" vertical="center"/>
    </xf>
    <xf numFmtId="43" fontId="239" fillId="0" borderId="48" xfId="943" applyFont="1" applyFill="1" applyBorder="1" applyAlignment="1">
      <alignment wrapText="1"/>
    </xf>
    <xf numFmtId="167" fontId="239" fillId="0" borderId="49" xfId="943" applyNumberFormat="1" applyFont="1" applyFill="1" applyBorder="1" applyAlignment="1">
      <alignment horizontal="left" vertical="center"/>
    </xf>
    <xf numFmtId="43" fontId="239" fillId="0" borderId="49" xfId="943" applyFont="1" applyFill="1" applyBorder="1" applyAlignment="1">
      <alignment horizontal="center" vertical="center"/>
    </xf>
    <xf numFmtId="167" fontId="239" fillId="0" borderId="49" xfId="943" applyNumberFormat="1" applyFont="1" applyFill="1" applyBorder="1" applyAlignment="1">
      <alignment horizontal="right" vertical="center"/>
    </xf>
    <xf numFmtId="43" fontId="239" fillId="0" borderId="49" xfId="943" applyFont="1" applyFill="1" applyBorder="1" applyAlignment="1">
      <alignment horizontal="right" vertical="center"/>
    </xf>
    <xf numFmtId="166" fontId="246" fillId="0" borderId="0" xfId="943" applyNumberFormat="1" applyFont="1" applyFill="1"/>
    <xf numFmtId="0" fontId="239" fillId="0" borderId="27" xfId="943" applyNumberFormat="1" applyFont="1" applyFill="1" applyBorder="1" applyAlignment="1">
      <alignment horizontal="center" vertical="center"/>
    </xf>
    <xf numFmtId="0" fontId="239" fillId="0" borderId="61" xfId="943" applyNumberFormat="1" applyFont="1" applyFill="1" applyBorder="1" applyAlignment="1">
      <alignment horizontal="center" vertical="center"/>
    </xf>
    <xf numFmtId="165" fontId="234" fillId="0" borderId="0" xfId="0" applyNumberFormat="1" applyFont="1" applyFill="1"/>
    <xf numFmtId="167" fontId="223" fillId="0" borderId="0" xfId="943" applyNumberFormat="1" applyFont="1" applyFill="1" applyAlignment="1">
      <alignment horizontal="right"/>
    </xf>
    <xf numFmtId="167" fontId="232" fillId="0" borderId="0" xfId="943" applyNumberFormat="1" applyFont="1" applyFill="1" applyAlignment="1">
      <alignment horizontal="right"/>
    </xf>
    <xf numFmtId="0" fontId="233" fillId="0" borderId="0" xfId="0" applyFont="1" applyFill="1"/>
    <xf numFmtId="0" fontId="243" fillId="0" borderId="0" xfId="0" applyFont="1" applyFill="1" applyAlignment="1">
      <alignment horizontal="center"/>
    </xf>
    <xf numFmtId="165" fontId="243" fillId="0" borderId="0" xfId="0" applyNumberFormat="1" applyFont="1" applyFill="1" applyAlignment="1">
      <alignment horizontal="center"/>
    </xf>
    <xf numFmtId="306" fontId="248" fillId="0" borderId="0" xfId="943" applyNumberFormat="1" applyFont="1" applyFill="1" applyAlignment="1">
      <alignment horizontal="center"/>
    </xf>
    <xf numFmtId="167" fontId="223" fillId="0" borderId="50" xfId="943" applyNumberFormat="1" applyFont="1" applyFill="1" applyBorder="1" applyAlignment="1">
      <alignment horizontal="right"/>
    </xf>
    <xf numFmtId="43" fontId="223" fillId="0" borderId="0" xfId="943" applyFont="1" applyFill="1" applyBorder="1" applyAlignment="1">
      <alignment horizontal="right"/>
    </xf>
    <xf numFmtId="307" fontId="243" fillId="0" borderId="0" xfId="0" applyNumberFormat="1" applyFont="1" applyFill="1" applyAlignment="1">
      <alignment horizontal="center"/>
    </xf>
    <xf numFmtId="43" fontId="243" fillId="0" borderId="0" xfId="943" applyFont="1" applyFill="1" applyAlignment="1">
      <alignment horizontal="center"/>
    </xf>
    <xf numFmtId="306" fontId="249" fillId="0" borderId="0" xfId="0" applyNumberFormat="1" applyFont="1" applyFill="1" applyAlignment="1">
      <alignment horizontal="center"/>
    </xf>
    <xf numFmtId="306" fontId="243" fillId="0" borderId="0" xfId="0" applyNumberFormat="1" applyFont="1" applyFill="1" applyAlignment="1">
      <alignment horizontal="center"/>
    </xf>
    <xf numFmtId="0" fontId="233" fillId="0" borderId="0" xfId="918" applyFont="1" applyFill="1"/>
    <xf numFmtId="0" fontId="246" fillId="0" borderId="55" xfId="0" applyFont="1" applyFill="1" applyBorder="1" applyAlignment="1">
      <alignment vertical="center"/>
    </xf>
    <xf numFmtId="0" fontId="246" fillId="0" borderId="0" xfId="0" applyFont="1" applyFill="1" applyAlignment="1">
      <alignment vertical="center"/>
    </xf>
    <xf numFmtId="0" fontId="245" fillId="0" borderId="55" xfId="0" applyFont="1" applyFill="1" applyBorder="1" applyAlignment="1">
      <alignment horizontal="center" vertical="center"/>
    </xf>
    <xf numFmtId="0" fontId="245" fillId="0" borderId="0" xfId="0" applyFont="1" applyFill="1" applyAlignment="1">
      <alignment horizontal="center" vertical="center"/>
    </xf>
    <xf numFmtId="166" fontId="236" fillId="0" borderId="48" xfId="943" applyNumberFormat="1" applyFont="1" applyFill="1" applyBorder="1" applyAlignment="1">
      <alignment horizontal="left" vertical="center"/>
    </xf>
    <xf numFmtId="166" fontId="236" fillId="0" borderId="0" xfId="943" applyNumberFormat="1" applyFont="1" applyFill="1"/>
    <xf numFmtId="0" fontId="236" fillId="0" borderId="48" xfId="0" applyFont="1" applyFill="1" applyBorder="1" applyAlignment="1">
      <alignment horizontal="center"/>
    </xf>
    <xf numFmtId="0" fontId="236" fillId="0" borderId="48" xfId="0" applyFont="1" applyFill="1" applyBorder="1"/>
    <xf numFmtId="0" fontId="236" fillId="0" borderId="0" xfId="0" applyFont="1" applyFill="1"/>
    <xf numFmtId="0" fontId="233" fillId="0" borderId="48" xfId="0" quotePrefix="1" applyFont="1" applyFill="1" applyBorder="1" applyAlignment="1">
      <alignment horizontal="center"/>
    </xf>
    <xf numFmtId="0" fontId="233" fillId="0" borderId="48" xfId="0" applyFont="1" applyFill="1" applyBorder="1"/>
    <xf numFmtId="0" fontId="236" fillId="0" borderId="48" xfId="0" quotePrefix="1" applyFont="1" applyFill="1" applyBorder="1" applyAlignment="1">
      <alignment horizontal="center"/>
    </xf>
    <xf numFmtId="165" fontId="236" fillId="0" borderId="0" xfId="0" applyNumberFormat="1" applyFont="1" applyFill="1"/>
    <xf numFmtId="0" fontId="233" fillId="0" borderId="48" xfId="0" applyFont="1" applyFill="1" applyBorder="1" applyAlignment="1">
      <alignment wrapText="1"/>
    </xf>
    <xf numFmtId="0" fontId="233" fillId="0" borderId="48" xfId="0" applyFont="1" applyFill="1" applyBorder="1" applyAlignment="1">
      <alignment horizontal="center"/>
    </xf>
    <xf numFmtId="0" fontId="236" fillId="0" borderId="48" xfId="0" applyFont="1" applyFill="1" applyBorder="1" applyAlignment="1">
      <alignment wrapText="1"/>
    </xf>
    <xf numFmtId="308" fontId="233" fillId="0" borderId="0" xfId="1391" applyNumberFormat="1" applyFont="1" applyFill="1"/>
    <xf numFmtId="167" fontId="233" fillId="0" borderId="0" xfId="0" applyNumberFormat="1" applyFont="1" applyFill="1"/>
    <xf numFmtId="0" fontId="245" fillId="0" borderId="4" xfId="0" applyFont="1" applyFill="1" applyBorder="1" applyAlignment="1">
      <alignment horizontal="center"/>
    </xf>
    <xf numFmtId="0" fontId="245" fillId="0" borderId="0" xfId="0" applyFont="1" applyFill="1"/>
    <xf numFmtId="0" fontId="233" fillId="0" borderId="0" xfId="0" applyFont="1" applyFill="1" applyAlignment="1">
      <alignment horizontal="center" vertical="center"/>
    </xf>
    <xf numFmtId="0" fontId="233" fillId="0" borderId="0" xfId="0" applyFont="1" applyFill="1" applyAlignment="1">
      <alignment wrapText="1"/>
    </xf>
    <xf numFmtId="0" fontId="233" fillId="0" borderId="4" xfId="0" applyFont="1" applyFill="1" applyBorder="1" applyAlignment="1">
      <alignment wrapText="1"/>
    </xf>
    <xf numFmtId="43" fontId="245" fillId="0" borderId="49" xfId="943" applyFont="1" applyFill="1" applyBorder="1"/>
    <xf numFmtId="166" fontId="236" fillId="0" borderId="48" xfId="943" applyNumberFormat="1" applyFont="1" applyFill="1" applyBorder="1" applyAlignment="1">
      <alignment horizontal="center" vertical="center"/>
    </xf>
    <xf numFmtId="0" fontId="236" fillId="0" borderId="48" xfId="0" applyFont="1" applyFill="1" applyBorder="1" applyAlignment="1">
      <alignment horizontal="center" vertical="center"/>
    </xf>
    <xf numFmtId="0" fontId="236" fillId="0" borderId="48" xfId="0" applyFont="1" applyFill="1" applyBorder="1" applyAlignment="1">
      <alignment vertical="center"/>
    </xf>
    <xf numFmtId="0" fontId="237" fillId="0" borderId="0" xfId="0" applyFont="1" applyFill="1" applyAlignment="1"/>
    <xf numFmtId="0" fontId="223" fillId="0" borderId="67" xfId="918" quotePrefix="1" applyFont="1" applyFill="1" applyBorder="1" applyAlignment="1">
      <alignment horizontal="center" vertical="center"/>
    </xf>
    <xf numFmtId="0" fontId="223" fillId="0" borderId="48" xfId="918" quotePrefix="1" applyFont="1" applyFill="1" applyBorder="1" applyAlignment="1">
      <alignment horizontal="center" vertical="center"/>
    </xf>
    <xf numFmtId="0" fontId="237" fillId="0" borderId="0" xfId="918" quotePrefix="1" applyFont="1" applyFill="1" applyBorder="1" applyAlignment="1">
      <alignment horizontal="center" vertical="center"/>
    </xf>
    <xf numFmtId="191" fontId="223" fillId="0" borderId="67" xfId="943" quotePrefix="1" applyNumberFormat="1" applyFont="1" applyFill="1" applyBorder="1" applyAlignment="1">
      <alignment horizontal="center" vertical="center"/>
    </xf>
    <xf numFmtId="191" fontId="223" fillId="0" borderId="48" xfId="943" quotePrefix="1" applyNumberFormat="1" applyFont="1" applyFill="1" applyBorder="1" applyAlignment="1">
      <alignment horizontal="center" vertical="center"/>
    </xf>
    <xf numFmtId="43" fontId="223" fillId="0" borderId="67" xfId="943" applyFont="1" applyFill="1" applyBorder="1" applyAlignment="1">
      <alignment horizontal="center" vertical="center"/>
    </xf>
    <xf numFmtId="191" fontId="223" fillId="0" borderId="67" xfId="943" applyNumberFormat="1" applyFont="1" applyFill="1" applyBorder="1" applyAlignment="1">
      <alignment horizontal="center" vertical="center"/>
    </xf>
    <xf numFmtId="191" fontId="223" fillId="0" borderId="48" xfId="943" applyNumberFormat="1" applyFont="1" applyFill="1" applyBorder="1" applyAlignment="1">
      <alignment horizontal="center" vertical="center"/>
    </xf>
    <xf numFmtId="43" fontId="223" fillId="0" borderId="48" xfId="943" applyFont="1" applyFill="1" applyBorder="1" applyAlignment="1">
      <alignment horizontal="center" vertical="center"/>
    </xf>
    <xf numFmtId="166" fontId="236" fillId="0" borderId="0" xfId="943" applyNumberFormat="1" applyFont="1" applyFill="1" applyAlignment="1">
      <alignment vertical="center"/>
    </xf>
    <xf numFmtId="0" fontId="233" fillId="0" borderId="48" xfId="0" quotePrefix="1" applyFont="1" applyFill="1" applyBorder="1" applyAlignment="1">
      <alignment horizontal="center" vertical="center"/>
    </xf>
    <xf numFmtId="0" fontId="233" fillId="0" borderId="48" xfId="0" applyFont="1" applyFill="1" applyBorder="1" applyAlignment="1">
      <alignment vertical="center" wrapText="1"/>
    </xf>
    <xf numFmtId="0" fontId="233" fillId="0" borderId="0" xfId="0" applyFont="1" applyFill="1" applyAlignment="1">
      <alignment vertical="center"/>
    </xf>
    <xf numFmtId="0" fontId="236" fillId="0" borderId="0" xfId="0" applyFont="1" applyFill="1" applyAlignment="1">
      <alignment vertical="center"/>
    </xf>
    <xf numFmtId="0" fontId="233" fillId="0" borderId="48" xfId="0" applyFont="1" applyFill="1" applyBorder="1" applyAlignment="1">
      <alignment vertical="center"/>
    </xf>
    <xf numFmtId="0" fontId="233" fillId="0" borderId="48" xfId="0" applyFont="1" applyFill="1" applyBorder="1" applyAlignment="1">
      <alignment horizontal="center" vertical="center"/>
    </xf>
    <xf numFmtId="0" fontId="236" fillId="0" borderId="48" xfId="0" applyFont="1" applyFill="1" applyBorder="1" applyAlignment="1">
      <alignment vertical="center" wrapText="1"/>
    </xf>
    <xf numFmtId="191" fontId="209" fillId="27" borderId="72" xfId="1000" applyNumberFormat="1" applyFont="1" applyFill="1" applyBorder="1" applyAlignment="1">
      <alignment horizontal="center" vertical="center" wrapText="1"/>
    </xf>
    <xf numFmtId="43" fontId="223" fillId="0" borderId="72" xfId="943" applyFont="1" applyFill="1" applyBorder="1" applyAlignment="1">
      <alignment horizontal="center" vertical="center"/>
    </xf>
    <xf numFmtId="0" fontId="236" fillId="0" borderId="70" xfId="0" applyFont="1" applyFill="1" applyBorder="1" applyAlignment="1">
      <alignment horizontal="center"/>
    </xf>
    <xf numFmtId="0" fontId="236" fillId="0" borderId="70" xfId="0" applyFont="1" applyFill="1" applyBorder="1" applyAlignment="1">
      <alignment wrapText="1"/>
    </xf>
    <xf numFmtId="0" fontId="246" fillId="0" borderId="71" xfId="0" applyFont="1" applyFill="1" applyBorder="1" applyAlignment="1">
      <alignment horizontal="center"/>
    </xf>
    <xf numFmtId="0" fontId="245" fillId="0" borderId="71" xfId="0" applyFont="1" applyFill="1" applyBorder="1"/>
    <xf numFmtId="43" fontId="245" fillId="0" borderId="71" xfId="943" applyFont="1" applyFill="1" applyBorder="1"/>
    <xf numFmtId="190" fontId="239" fillId="0" borderId="52" xfId="943" applyNumberFormat="1" applyFont="1" applyFill="1" applyBorder="1" applyAlignment="1">
      <alignment horizontal="center" vertical="center"/>
    </xf>
    <xf numFmtId="0" fontId="236" fillId="0" borderId="48" xfId="0" applyFont="1" applyFill="1" applyBorder="1" applyAlignment="1">
      <alignment horizontal="left" vertical="center"/>
    </xf>
    <xf numFmtId="43" fontId="233" fillId="0" borderId="48" xfId="943" applyFont="1" applyFill="1" applyBorder="1" applyAlignment="1">
      <alignment horizontal="left" vertical="center" wrapText="1"/>
    </xf>
    <xf numFmtId="190" fontId="233" fillId="0" borderId="0" xfId="943" applyNumberFormat="1" applyFont="1" applyFill="1"/>
    <xf numFmtId="187" fontId="230" fillId="0" borderId="0" xfId="0" applyNumberFormat="1" applyFont="1"/>
    <xf numFmtId="166" fontId="223" fillId="0" borderId="0" xfId="943" applyNumberFormat="1" applyFont="1" applyFill="1" applyAlignment="1">
      <alignment horizontal="center"/>
    </xf>
    <xf numFmtId="192" fontId="236" fillId="0" borderId="0" xfId="0" applyNumberFormat="1" applyFont="1" applyFill="1"/>
    <xf numFmtId="43" fontId="239" fillId="50" borderId="48" xfId="943" applyFont="1" applyFill="1" applyBorder="1" applyAlignment="1">
      <alignment horizontal="center" vertical="center"/>
    </xf>
    <xf numFmtId="166" fontId="239" fillId="0" borderId="48" xfId="943" applyNumberFormat="1" applyFont="1" applyFill="1" applyBorder="1" applyAlignment="1">
      <alignment horizontal="center" vertical="center"/>
    </xf>
    <xf numFmtId="166" fontId="239" fillId="0" borderId="49" xfId="943" applyNumberFormat="1" applyFont="1" applyFill="1" applyBorder="1" applyAlignment="1">
      <alignment horizontal="center" vertical="center"/>
    </xf>
    <xf numFmtId="181" fontId="245" fillId="0" borderId="49" xfId="943" applyNumberFormat="1" applyFont="1" applyFill="1" applyBorder="1"/>
    <xf numFmtId="167" fontId="236" fillId="0" borderId="1" xfId="943" applyNumberFormat="1" applyFont="1" applyBorder="1" applyAlignment="1">
      <alignment horizontal="center" vertical="center" wrapText="1"/>
    </xf>
    <xf numFmtId="43" fontId="236" fillId="0" borderId="1" xfId="943" applyFont="1" applyBorder="1" applyAlignment="1">
      <alignment horizontal="center" vertical="center" wrapText="1"/>
    </xf>
    <xf numFmtId="0" fontId="236" fillId="0" borderId="0" xfId="0" applyFont="1" applyAlignment="1">
      <alignment vertical="center"/>
    </xf>
    <xf numFmtId="0" fontId="225" fillId="0" borderId="0" xfId="0" applyFont="1" applyAlignment="1"/>
    <xf numFmtId="166" fontId="233" fillId="0" borderId="0" xfId="943" applyNumberFormat="1" applyFont="1" applyAlignment="1"/>
    <xf numFmtId="0" fontId="233" fillId="0" borderId="0" xfId="0" applyFont="1"/>
    <xf numFmtId="166" fontId="233" fillId="0" borderId="0" xfId="943" applyNumberFormat="1" applyFont="1"/>
    <xf numFmtId="0" fontId="243" fillId="0" borderId="0" xfId="0" applyFont="1" applyAlignment="1">
      <alignment horizontal="right" vertical="center"/>
    </xf>
    <xf numFmtId="0" fontId="236" fillId="0" borderId="1" xfId="0" applyFont="1" applyBorder="1" applyAlignment="1">
      <alignment horizontal="center" vertical="center" wrapText="1"/>
    </xf>
    <xf numFmtId="0" fontId="236" fillId="0" borderId="53" xfId="0" applyFont="1" applyBorder="1" applyAlignment="1">
      <alignment horizontal="center" vertical="center" wrapText="1"/>
    </xf>
    <xf numFmtId="0" fontId="233" fillId="0" borderId="48" xfId="0" applyFont="1" applyBorder="1" applyAlignment="1">
      <alignment horizontal="center" vertical="center" wrapText="1"/>
    </xf>
    <xf numFmtId="0" fontId="236" fillId="0" borderId="48" xfId="0" applyFont="1" applyBorder="1" applyAlignment="1">
      <alignment horizontal="center" vertical="center" wrapText="1"/>
    </xf>
    <xf numFmtId="0" fontId="236" fillId="0" borderId="48" xfId="0" applyFont="1" applyBorder="1" applyAlignment="1">
      <alignment vertical="center" wrapText="1"/>
    </xf>
    <xf numFmtId="0" fontId="233" fillId="0" borderId="48" xfId="0" applyFont="1" applyBorder="1" applyAlignment="1">
      <alignment vertical="center" wrapText="1"/>
    </xf>
    <xf numFmtId="167" fontId="232" fillId="27" borderId="48" xfId="943" applyNumberFormat="1" applyFont="1" applyFill="1" applyBorder="1" applyAlignment="1">
      <alignment horizontal="center" vertical="center" wrapText="1"/>
    </xf>
    <xf numFmtId="0" fontId="243" fillId="0" borderId="48" xfId="0" applyFont="1" applyBorder="1" applyAlignment="1">
      <alignment vertical="center" wrapText="1"/>
    </xf>
    <xf numFmtId="167" fontId="225" fillId="0" borderId="48" xfId="943" applyNumberFormat="1" applyFont="1" applyBorder="1"/>
    <xf numFmtId="167" fontId="223" fillId="50" borderId="68" xfId="963" applyNumberFormat="1" applyFont="1" applyFill="1" applyBorder="1" applyAlignment="1">
      <alignment horizontal="right" vertical="center" wrapText="1"/>
    </xf>
    <xf numFmtId="167" fontId="233" fillId="0" borderId="68" xfId="943" applyNumberFormat="1" applyFont="1" applyBorder="1" applyAlignment="1">
      <alignment horizontal="center" vertical="center" wrapText="1"/>
    </xf>
    <xf numFmtId="0" fontId="233" fillId="0" borderId="48" xfId="0" quotePrefix="1" applyFont="1" applyBorder="1" applyAlignment="1">
      <alignment horizontal="center" vertical="center" wrapText="1"/>
    </xf>
    <xf numFmtId="0" fontId="233" fillId="0" borderId="49" xfId="0" applyFont="1" applyBorder="1" applyAlignment="1">
      <alignment horizontal="center" vertical="center" wrapText="1"/>
    </xf>
    <xf numFmtId="0" fontId="233" fillId="0" borderId="49" xfId="0" applyFont="1" applyBorder="1" applyAlignment="1">
      <alignment vertical="center" wrapText="1"/>
    </xf>
    <xf numFmtId="167" fontId="233" fillId="0" borderId="49" xfId="943" applyNumberFormat="1" applyFont="1" applyBorder="1" applyAlignment="1">
      <alignment horizontal="center" vertical="center" wrapText="1"/>
    </xf>
    <xf numFmtId="253" fontId="233" fillId="0" borderId="0" xfId="0" applyNumberFormat="1" applyFont="1"/>
    <xf numFmtId="0" fontId="243" fillId="0" borderId="0" xfId="0" applyFont="1" applyAlignment="1">
      <alignment horizontal="center" vertical="center" wrapText="1"/>
    </xf>
    <xf numFmtId="0" fontId="236" fillId="0" borderId="0" xfId="0" applyFont="1" applyAlignment="1">
      <alignment horizontal="center" vertical="center" wrapText="1"/>
    </xf>
    <xf numFmtId="166" fontId="225" fillId="0" borderId="0" xfId="943" applyNumberFormat="1" applyFont="1"/>
    <xf numFmtId="43" fontId="225" fillId="0" borderId="0" xfId="943" applyFont="1"/>
    <xf numFmtId="167" fontId="225" fillId="0" borderId="0" xfId="943" applyNumberFormat="1" applyFont="1"/>
    <xf numFmtId="166" fontId="223" fillId="0" borderId="0" xfId="943" applyNumberFormat="1" applyFont="1" applyAlignment="1"/>
    <xf numFmtId="190" fontId="223" fillId="0" borderId="0" xfId="943" applyNumberFormat="1" applyFont="1" applyAlignment="1"/>
    <xf numFmtId="190" fontId="223" fillId="0" borderId="0" xfId="943" applyNumberFormat="1" applyFont="1"/>
    <xf numFmtId="167" fontId="223" fillId="0" borderId="0" xfId="943" applyNumberFormat="1" applyFont="1" applyAlignment="1">
      <alignment vertical="center"/>
    </xf>
    <xf numFmtId="190" fontId="223" fillId="0" borderId="0" xfId="943" applyNumberFormat="1" applyFont="1" applyAlignment="1">
      <alignment horizontal="center" vertical="center"/>
    </xf>
    <xf numFmtId="166" fontId="223" fillId="0" borderId="0" xfId="943" applyNumberFormat="1" applyFont="1" applyAlignment="1">
      <alignment horizontal="center" vertical="center"/>
    </xf>
    <xf numFmtId="43" fontId="232" fillId="0" borderId="0" xfId="943" applyFont="1" applyAlignment="1">
      <alignment horizontal="center" vertical="center"/>
    </xf>
    <xf numFmtId="166" fontId="226" fillId="0" borderId="0" xfId="943" applyNumberFormat="1" applyFont="1" applyAlignment="1">
      <alignment horizontal="right" vertical="center"/>
    </xf>
    <xf numFmtId="166" fontId="239" fillId="0" borderId="1" xfId="943" applyNumberFormat="1" applyFont="1" applyBorder="1" applyAlignment="1">
      <alignment horizontal="center" vertical="center" wrapText="1"/>
    </xf>
    <xf numFmtId="167" fontId="223" fillId="0" borderId="53" xfId="943" applyNumberFormat="1" applyFont="1" applyBorder="1" applyAlignment="1">
      <alignment horizontal="center" wrapText="1"/>
    </xf>
    <xf numFmtId="190" fontId="223" fillId="0" borderId="53" xfId="943" applyNumberFormat="1" applyFont="1" applyBorder="1" applyAlignment="1">
      <alignment horizontal="center" wrapText="1"/>
    </xf>
    <xf numFmtId="167" fontId="223" fillId="0" borderId="48" xfId="943" applyNumberFormat="1" applyFont="1" applyBorder="1" applyAlignment="1">
      <alignment vertical="center" wrapText="1"/>
    </xf>
    <xf numFmtId="190" fontId="239" fillId="0" borderId="48" xfId="943" applyNumberFormat="1" applyFont="1" applyBorder="1" applyAlignment="1">
      <alignment horizontal="center" vertical="center" wrapText="1"/>
    </xf>
    <xf numFmtId="167" fontId="239" fillId="0" borderId="48" xfId="943" applyNumberFormat="1" applyFont="1" applyBorder="1" applyAlignment="1">
      <alignment horizontal="center" vertical="center" wrapText="1"/>
    </xf>
    <xf numFmtId="167" fontId="239" fillId="0" borderId="69" xfId="943" applyNumberFormat="1" applyFont="1" applyBorder="1" applyAlignment="1">
      <alignment horizontal="center" vertical="center" wrapText="1"/>
    </xf>
    <xf numFmtId="167" fontId="239" fillId="0" borderId="48" xfId="943" applyNumberFormat="1" applyFont="1" applyBorder="1" applyAlignment="1">
      <alignment vertical="center" wrapText="1"/>
    </xf>
    <xf numFmtId="190" fontId="239" fillId="0" borderId="48" xfId="943" applyNumberFormat="1" applyFont="1" applyBorder="1" applyAlignment="1">
      <alignment vertical="center" wrapText="1"/>
    </xf>
    <xf numFmtId="190" fontId="223" fillId="0" borderId="48" xfId="943" applyNumberFormat="1" applyFont="1" applyBorder="1" applyAlignment="1">
      <alignment vertical="center" wrapText="1"/>
    </xf>
    <xf numFmtId="167" fontId="223" fillId="0" borderId="48" xfId="943" applyNumberFormat="1" applyFont="1" applyBorder="1" applyAlignment="1">
      <alignment horizontal="center" vertical="center" wrapText="1"/>
    </xf>
    <xf numFmtId="167" fontId="223" fillId="0" borderId="69" xfId="943" applyNumberFormat="1" applyFont="1" applyBorder="1" applyAlignment="1">
      <alignment horizontal="center" vertical="center" wrapText="1"/>
    </xf>
    <xf numFmtId="167" fontId="223" fillId="0" borderId="49" xfId="943" applyNumberFormat="1" applyFont="1" applyBorder="1" applyAlignment="1">
      <alignment vertical="center" wrapText="1"/>
    </xf>
    <xf numFmtId="190" fontId="223" fillId="0" borderId="49" xfId="943" applyNumberFormat="1" applyFont="1" applyBorder="1" applyAlignment="1">
      <alignment vertical="center" wrapText="1"/>
    </xf>
    <xf numFmtId="167" fontId="223" fillId="0" borderId="49" xfId="943" applyNumberFormat="1" applyFont="1" applyBorder="1" applyAlignment="1">
      <alignment horizontal="center" vertical="center" wrapText="1"/>
    </xf>
    <xf numFmtId="166" fontId="223" fillId="0" borderId="0" xfId="943" applyNumberFormat="1" applyFont="1"/>
    <xf numFmtId="167" fontId="232" fillId="0" borderId="0" xfId="943" applyNumberFormat="1" applyFont="1"/>
    <xf numFmtId="181" fontId="232" fillId="0" borderId="0" xfId="943" applyNumberFormat="1" applyFont="1"/>
    <xf numFmtId="167" fontId="239" fillId="27" borderId="72" xfId="943" applyNumberFormat="1" applyFont="1" applyFill="1" applyBorder="1" applyAlignment="1">
      <alignment horizontal="right" vertical="center"/>
    </xf>
    <xf numFmtId="43" fontId="239" fillId="27" borderId="72" xfId="943" applyFont="1" applyFill="1" applyBorder="1" applyAlignment="1">
      <alignment horizontal="left" vertical="center" wrapText="1"/>
    </xf>
    <xf numFmtId="43" fontId="239" fillId="27" borderId="72" xfId="943" applyFont="1" applyFill="1" applyBorder="1" applyAlignment="1">
      <alignment horizontal="right" vertical="center"/>
    </xf>
    <xf numFmtId="0" fontId="239" fillId="27" borderId="72" xfId="0" applyFont="1" applyFill="1" applyBorder="1" applyAlignment="1">
      <alignment horizontal="left" vertical="center" wrapText="1"/>
    </xf>
    <xf numFmtId="43" fontId="246" fillId="0" borderId="48" xfId="943" applyFont="1" applyFill="1" applyBorder="1" applyAlignment="1">
      <alignment horizontal="right" vertical="center"/>
    </xf>
    <xf numFmtId="43" fontId="246" fillId="0" borderId="72" xfId="943" applyFont="1" applyBorder="1" applyAlignment="1">
      <alignment vertical="center" wrapText="1"/>
    </xf>
    <xf numFmtId="43" fontId="239" fillId="50" borderId="72" xfId="943" applyFont="1" applyFill="1" applyBorder="1" applyAlignment="1">
      <alignment horizontal="right" vertical="center"/>
    </xf>
    <xf numFmtId="43" fontId="234" fillId="27" borderId="72" xfId="943" applyFont="1" applyFill="1" applyBorder="1" applyAlignment="1">
      <alignment horizontal="left" vertical="center" wrapText="1"/>
    </xf>
    <xf numFmtId="0" fontId="223" fillId="0" borderId="67" xfId="918" applyFont="1" applyFill="1" applyBorder="1" applyAlignment="1">
      <alignment horizontal="left" vertical="center"/>
    </xf>
    <xf numFmtId="0" fontId="223" fillId="0" borderId="48" xfId="918" applyFont="1" applyFill="1" applyBorder="1" applyAlignment="1">
      <alignment horizontal="left" vertical="center"/>
    </xf>
    <xf numFmtId="43" fontId="239" fillId="0" borderId="48" xfId="943" applyFont="1" applyFill="1" applyBorder="1" applyAlignment="1">
      <alignment horizontal="center" vertical="center"/>
    </xf>
    <xf numFmtId="43" fontId="245" fillId="0" borderId="0" xfId="943" applyFont="1" applyFill="1" applyAlignment="1">
      <alignment horizontal="center"/>
    </xf>
    <xf numFmtId="167" fontId="246" fillId="0" borderId="23" xfId="943" applyNumberFormat="1" applyFont="1" applyFill="1" applyBorder="1" applyAlignment="1">
      <alignment horizontal="center" vertical="center" wrapText="1"/>
    </xf>
    <xf numFmtId="167" fontId="246" fillId="0" borderId="1" xfId="943" applyNumberFormat="1" applyFont="1" applyFill="1" applyBorder="1" applyAlignment="1">
      <alignment horizontal="center" vertical="center" wrapText="1"/>
    </xf>
    <xf numFmtId="0" fontId="243" fillId="0" borderId="50" xfId="0" applyFont="1" applyFill="1" applyBorder="1" applyAlignment="1">
      <alignment horizontal="center"/>
    </xf>
    <xf numFmtId="167" fontId="223" fillId="0" borderId="0" xfId="943" applyNumberFormat="1" applyFont="1" applyFill="1" applyAlignment="1">
      <alignment horizontal="center"/>
    </xf>
    <xf numFmtId="0" fontId="223" fillId="0" borderId="0" xfId="918" applyFont="1" applyFill="1" applyAlignment="1">
      <alignment horizontal="right"/>
    </xf>
    <xf numFmtId="166" fontId="239" fillId="0" borderId="52" xfId="943" applyNumberFormat="1" applyFont="1" applyFill="1" applyBorder="1" applyAlignment="1">
      <alignment horizontal="center" vertical="center"/>
    </xf>
    <xf numFmtId="191" fontId="223" fillId="0" borderId="67" xfId="943" applyNumberFormat="1" applyFont="1" applyFill="1" applyBorder="1"/>
    <xf numFmtId="191" fontId="223" fillId="0" borderId="72" xfId="943" applyNumberFormat="1" applyFont="1" applyFill="1" applyBorder="1"/>
    <xf numFmtId="0" fontId="212" fillId="0" borderId="0" xfId="0" applyFont="1" applyAlignment="1">
      <alignment horizontal="center" vertical="center"/>
    </xf>
    <xf numFmtId="0" fontId="212" fillId="0" borderId="0" xfId="0" applyFont="1"/>
    <xf numFmtId="167" fontId="251" fillId="0" borderId="0" xfId="943" applyNumberFormat="1" applyFont="1" applyFill="1" applyAlignment="1"/>
    <xf numFmtId="43" fontId="255" fillId="27" borderId="72" xfId="943" applyFont="1" applyFill="1" applyBorder="1" applyAlignment="1">
      <alignment horizontal="left" vertical="center" wrapText="1"/>
    </xf>
    <xf numFmtId="0" fontId="223" fillId="0" borderId="78" xfId="918" quotePrefix="1" applyFont="1" applyFill="1" applyBorder="1" applyAlignment="1">
      <alignment horizontal="center" vertical="center"/>
    </xf>
    <xf numFmtId="0" fontId="223" fillId="0" borderId="78" xfId="918" applyFont="1" applyFill="1" applyBorder="1" applyAlignment="1">
      <alignment horizontal="left" vertical="center"/>
    </xf>
    <xf numFmtId="43" fontId="223" fillId="0" borderId="78" xfId="943" applyFont="1" applyFill="1" applyBorder="1" applyAlignment="1">
      <alignment horizontal="center" vertical="center"/>
    </xf>
    <xf numFmtId="191" fontId="223" fillId="0" borderId="78" xfId="943" applyNumberFormat="1" applyFont="1" applyFill="1" applyBorder="1" applyAlignment="1">
      <alignment horizontal="center" vertical="center"/>
    </xf>
    <xf numFmtId="191" fontId="223" fillId="0" borderId="78" xfId="943" applyNumberFormat="1" applyFont="1" applyFill="1" applyBorder="1"/>
    <xf numFmtId="191" fontId="223" fillId="0" borderId="78" xfId="943" quotePrefix="1" applyNumberFormat="1" applyFont="1" applyFill="1" applyBorder="1" applyAlignment="1">
      <alignment horizontal="center" vertical="center"/>
    </xf>
    <xf numFmtId="191" fontId="239" fillId="0" borderId="60" xfId="943" applyNumberFormat="1" applyFont="1" applyFill="1" applyBorder="1" applyAlignment="1">
      <alignment horizontal="center" vertical="center"/>
    </xf>
    <xf numFmtId="167" fontId="239" fillId="0" borderId="60" xfId="943" applyNumberFormat="1" applyFont="1" applyFill="1" applyBorder="1" applyAlignment="1">
      <alignment horizontal="center" vertical="center"/>
    </xf>
    <xf numFmtId="43" fontId="233" fillId="0" borderId="0" xfId="943" applyFont="1" applyFill="1"/>
    <xf numFmtId="0" fontId="244" fillId="27" borderId="72" xfId="0" applyFont="1" applyFill="1" applyBorder="1" applyAlignment="1">
      <alignment horizontal="center" vertical="center" wrapText="1"/>
    </xf>
    <xf numFmtId="0" fontId="256" fillId="0" borderId="79" xfId="0" applyFont="1" applyBorder="1" applyAlignment="1">
      <alignment vertical="center" wrapText="1"/>
    </xf>
    <xf numFmtId="0" fontId="244" fillId="27" borderId="48" xfId="0" applyFont="1" applyFill="1" applyBorder="1" applyAlignment="1">
      <alignment horizontal="left" vertical="center" wrapText="1"/>
    </xf>
    <xf numFmtId="179" fontId="230" fillId="27" borderId="0" xfId="0" applyNumberFormat="1" applyFont="1" applyFill="1"/>
    <xf numFmtId="43" fontId="255" fillId="27" borderId="72" xfId="943" applyFont="1" applyFill="1" applyBorder="1" applyAlignment="1">
      <alignment horizontal="center" vertical="center"/>
    </xf>
    <xf numFmtId="43" fontId="246" fillId="0" borderId="48" xfId="943" applyNumberFormat="1" applyFont="1" applyFill="1" applyBorder="1" applyAlignment="1">
      <alignment vertical="center"/>
    </xf>
    <xf numFmtId="43" fontId="246" fillId="0" borderId="48" xfId="943" applyNumberFormat="1" applyFont="1" applyFill="1" applyBorder="1"/>
    <xf numFmtId="43" fontId="245" fillId="0" borderId="48" xfId="943" applyNumberFormat="1" applyFont="1" applyFill="1" applyBorder="1"/>
    <xf numFmtId="43" fontId="245" fillId="0" borderId="48" xfId="943" applyNumberFormat="1" applyFont="1" applyFill="1" applyBorder="1" applyAlignment="1">
      <alignment vertical="center"/>
    </xf>
    <xf numFmtId="43" fontId="254" fillId="27" borderId="72" xfId="943" applyNumberFormat="1" applyFont="1" applyFill="1" applyBorder="1"/>
    <xf numFmtId="43" fontId="245" fillId="0" borderId="4" xfId="943" applyNumberFormat="1" applyFont="1" applyFill="1" applyBorder="1"/>
    <xf numFmtId="43" fontId="246" fillId="0" borderId="70" xfId="943" applyNumberFormat="1" applyFont="1" applyFill="1" applyBorder="1"/>
    <xf numFmtId="0" fontId="246" fillId="0" borderId="1" xfId="0" applyFont="1" applyFill="1" applyBorder="1" applyAlignment="1">
      <alignment horizontal="center" vertical="center" wrapText="1"/>
    </xf>
    <xf numFmtId="167" fontId="236" fillId="0" borderId="1" xfId="943" applyNumberFormat="1" applyFont="1" applyBorder="1" applyAlignment="1">
      <alignment horizontal="center" vertical="center" wrapText="1"/>
    </xf>
    <xf numFmtId="167" fontId="236" fillId="0" borderId="60" xfId="943" applyNumberFormat="1" applyFont="1" applyBorder="1" applyAlignment="1">
      <alignment horizontal="center" vertical="center" wrapText="1"/>
    </xf>
    <xf numFmtId="43" fontId="239" fillId="0" borderId="48" xfId="943" applyFont="1" applyFill="1" applyBorder="1" applyAlignment="1">
      <alignment horizontal="center" vertical="center"/>
    </xf>
    <xf numFmtId="167" fontId="233" fillId="0" borderId="72" xfId="943" applyNumberFormat="1" applyFont="1" applyFill="1" applyBorder="1" applyAlignment="1">
      <alignment horizontal="center" vertical="center" wrapText="1"/>
    </xf>
    <xf numFmtId="167" fontId="236" fillId="0" borderId="80" xfId="943" applyNumberFormat="1" applyFont="1" applyBorder="1" applyAlignment="1">
      <alignment horizontal="center" vertical="center" wrapText="1"/>
    </xf>
    <xf numFmtId="0" fontId="233" fillId="0" borderId="80" xfId="943" applyNumberFormat="1" applyFont="1" applyBorder="1" applyAlignment="1">
      <alignment horizontal="center" vertical="center" wrapText="1"/>
    </xf>
    <xf numFmtId="310" fontId="236" fillId="0" borderId="80" xfId="943" applyNumberFormat="1" applyFont="1" applyBorder="1" applyAlignment="1">
      <alignment horizontal="center" vertical="center" wrapText="1"/>
    </xf>
    <xf numFmtId="167" fontId="236" fillId="0" borderId="80" xfId="943" applyNumberFormat="1" applyFont="1" applyBorder="1" applyAlignment="1">
      <alignment vertical="center" wrapText="1"/>
    </xf>
    <xf numFmtId="0" fontId="236" fillId="0" borderId="80" xfId="943" applyNumberFormat="1" applyFont="1" applyBorder="1" applyAlignment="1">
      <alignment horizontal="center" vertical="center" wrapText="1"/>
    </xf>
    <xf numFmtId="310" fontId="233" fillId="0" borderId="80" xfId="943" applyNumberFormat="1" applyFont="1" applyBorder="1" applyAlignment="1">
      <alignment horizontal="center"/>
    </xf>
    <xf numFmtId="310" fontId="233" fillId="0" borderId="80" xfId="0" applyNumberFormat="1" applyFont="1" applyBorder="1" applyAlignment="1">
      <alignment horizontal="center"/>
    </xf>
    <xf numFmtId="167" fontId="233" fillId="0" borderId="80" xfId="943" applyNumberFormat="1" applyFont="1" applyBorder="1" applyAlignment="1">
      <alignment vertical="center" wrapText="1"/>
    </xf>
    <xf numFmtId="310" fontId="233" fillId="0" borderId="80" xfId="943" applyNumberFormat="1" applyFont="1" applyBorder="1" applyAlignment="1">
      <alignment horizontal="center" vertical="center" wrapText="1"/>
    </xf>
    <xf numFmtId="167" fontId="243" fillId="0" borderId="80" xfId="943" applyNumberFormat="1" applyFont="1" applyBorder="1" applyAlignment="1">
      <alignment vertical="center" wrapText="1"/>
    </xf>
    <xf numFmtId="310" fontId="236" fillId="0" borderId="80" xfId="943" applyNumberFormat="1" applyFont="1" applyBorder="1" applyAlignment="1">
      <alignment horizontal="center"/>
    </xf>
    <xf numFmtId="0" fontId="236" fillId="0" borderId="81" xfId="943" applyNumberFormat="1" applyFont="1" applyBorder="1" applyAlignment="1">
      <alignment horizontal="center" vertical="center" wrapText="1"/>
    </xf>
    <xf numFmtId="167" fontId="236" fillId="0" borderId="81" xfId="943" applyNumberFormat="1" applyFont="1" applyBorder="1" applyAlignment="1">
      <alignment vertical="center" wrapText="1"/>
    </xf>
    <xf numFmtId="310" fontId="233" fillId="0" borderId="81" xfId="943" applyNumberFormat="1" applyFont="1" applyBorder="1" applyAlignment="1">
      <alignment horizontal="center" vertical="center" wrapText="1"/>
    </xf>
    <xf numFmtId="167" fontId="236" fillId="0" borderId="21" xfId="943" applyNumberFormat="1" applyFont="1" applyBorder="1" applyAlignment="1">
      <alignment horizontal="center" vertical="center" wrapText="1"/>
    </xf>
    <xf numFmtId="310" fontId="236" fillId="0" borderId="21" xfId="943" applyNumberFormat="1" applyFont="1" applyBorder="1" applyAlignment="1">
      <alignment horizontal="center" vertical="center" wrapText="1"/>
    </xf>
    <xf numFmtId="43" fontId="239" fillId="0" borderId="48" xfId="943" applyFont="1" applyFill="1" applyBorder="1" applyAlignment="1">
      <alignment horizontal="center" vertical="center"/>
    </xf>
    <xf numFmtId="311" fontId="257" fillId="0" borderId="0" xfId="0" applyNumberFormat="1" applyFont="1" applyFill="1" applyBorder="1" applyAlignment="1">
      <alignment horizontal="center" vertical="center"/>
    </xf>
    <xf numFmtId="0" fontId="223" fillId="0" borderId="0" xfId="0" applyFont="1" applyFill="1"/>
    <xf numFmtId="0" fontId="239" fillId="0" borderId="0" xfId="0" applyFont="1" applyFill="1"/>
    <xf numFmtId="0" fontId="239" fillId="0" borderId="30" xfId="0" applyFont="1" applyFill="1" applyBorder="1" applyAlignment="1">
      <alignment horizontal="center"/>
    </xf>
    <xf numFmtId="3" fontId="239" fillId="0" borderId="30" xfId="0" applyNumberFormat="1" applyFont="1" applyFill="1" applyBorder="1" applyAlignment="1">
      <alignment horizontal="center"/>
    </xf>
    <xf numFmtId="312" fontId="239" fillId="0" borderId="30" xfId="0" applyNumberFormat="1" applyFont="1" applyFill="1" applyBorder="1"/>
    <xf numFmtId="0" fontId="239" fillId="0" borderId="80" xfId="0" applyFont="1" applyFill="1" applyBorder="1"/>
    <xf numFmtId="0" fontId="239" fillId="0" borderId="80" xfId="0" applyFont="1" applyFill="1" applyBorder="1" applyAlignment="1">
      <alignment horizontal="left"/>
    </xf>
    <xf numFmtId="3" fontId="239" fillId="0" borderId="80" xfId="0" applyNumberFormat="1" applyFont="1" applyFill="1" applyBorder="1" applyAlignment="1">
      <alignment horizontal="center"/>
    </xf>
    <xf numFmtId="312" fontId="239" fillId="0" borderId="80" xfId="0" applyNumberFormat="1" applyFont="1" applyFill="1" applyBorder="1"/>
    <xf numFmtId="312" fontId="223" fillId="0" borderId="0" xfId="0" applyNumberFormat="1" applyFont="1" applyFill="1"/>
    <xf numFmtId="0" fontId="239" fillId="0" borderId="80" xfId="0" applyFont="1" applyFill="1" applyBorder="1" applyAlignment="1">
      <alignment horizontal="center"/>
    </xf>
    <xf numFmtId="312" fontId="239" fillId="0" borderId="80" xfId="2016" applyNumberFormat="1" applyFont="1" applyFill="1" applyBorder="1"/>
    <xf numFmtId="0" fontId="223" fillId="0" borderId="80" xfId="0" applyFont="1" applyFill="1" applyBorder="1" applyAlignment="1">
      <alignment horizontal="center"/>
    </xf>
    <xf numFmtId="0" fontId="223" fillId="0" borderId="80" xfId="0" quotePrefix="1" applyFont="1" applyFill="1" applyBorder="1"/>
    <xf numFmtId="312" fontId="223" fillId="0" borderId="80" xfId="2016" applyNumberFormat="1" applyFont="1" applyFill="1" applyBorder="1"/>
    <xf numFmtId="0" fontId="223" fillId="0" borderId="80" xfId="0" quotePrefix="1" applyFont="1" applyFill="1" applyBorder="1" applyAlignment="1">
      <alignment horizontal="left" vertical="center" wrapText="1"/>
    </xf>
    <xf numFmtId="0" fontId="223" fillId="0" borderId="80" xfId="0" applyFont="1" applyFill="1" applyBorder="1" applyAlignment="1">
      <alignment horizontal="center" vertical="center"/>
    </xf>
    <xf numFmtId="312" fontId="223" fillId="0" borderId="80" xfId="2016" applyNumberFormat="1" applyFont="1" applyFill="1" applyBorder="1" applyAlignment="1">
      <alignment vertical="center"/>
    </xf>
    <xf numFmtId="0" fontId="223" fillId="0" borderId="0" xfId="0" applyFont="1" applyFill="1" applyAlignment="1">
      <alignment vertical="center"/>
    </xf>
    <xf numFmtId="226" fontId="223" fillId="0" borderId="0" xfId="943" applyNumberFormat="1" applyFont="1" applyFill="1"/>
    <xf numFmtId="312" fontId="223" fillId="0" borderId="80" xfId="2016" applyNumberFormat="1" applyFont="1" applyFill="1" applyBorder="1" applyAlignment="1">
      <alignment vertical="center" wrapText="1"/>
    </xf>
    <xf numFmtId="226" fontId="239" fillId="0" borderId="0" xfId="943" applyNumberFormat="1" applyFont="1" applyFill="1"/>
    <xf numFmtId="311" fontId="223" fillId="0" borderId="80" xfId="2016" applyNumberFormat="1" applyFont="1" applyFill="1" applyBorder="1"/>
    <xf numFmtId="191" fontId="239" fillId="0" borderId="80" xfId="943" applyNumberFormat="1" applyFont="1" applyFill="1" applyBorder="1" applyAlignment="1">
      <alignment horizontal="center"/>
    </xf>
    <xf numFmtId="312" fontId="239" fillId="0" borderId="80" xfId="2016" applyNumberFormat="1" applyFont="1" applyFill="1" applyBorder="1" applyAlignment="1">
      <alignment horizontal="center"/>
    </xf>
    <xf numFmtId="0" fontId="223" fillId="0" borderId="80" xfId="0" applyFont="1" applyFill="1" applyBorder="1"/>
    <xf numFmtId="312" fontId="223" fillId="0" borderId="80" xfId="2016" applyNumberFormat="1" applyFont="1" applyFill="1" applyBorder="1" applyAlignment="1">
      <alignment horizontal="center"/>
    </xf>
    <xf numFmtId="0" fontId="239" fillId="0" borderId="80" xfId="0" applyFont="1" applyFill="1" applyBorder="1" applyAlignment="1">
      <alignment vertical="center"/>
    </xf>
    <xf numFmtId="312" fontId="239" fillId="0" borderId="80" xfId="0" applyNumberFormat="1" applyFont="1" applyFill="1" applyBorder="1" applyAlignment="1">
      <alignment horizontal="center" vertical="center"/>
    </xf>
    <xf numFmtId="0" fontId="239" fillId="0" borderId="80" xfId="0" applyFont="1" applyFill="1" applyBorder="1" applyAlignment="1">
      <alignment horizontal="center" vertical="center" wrapText="1"/>
    </xf>
    <xf numFmtId="0" fontId="239" fillId="0" borderId="80" xfId="0" applyFont="1" applyFill="1" applyBorder="1" applyAlignment="1">
      <alignment horizontal="left" vertical="center" wrapText="1"/>
    </xf>
    <xf numFmtId="0" fontId="239" fillId="0" borderId="80" xfId="0" applyFont="1" applyFill="1" applyBorder="1" applyAlignment="1">
      <alignment horizontal="center" vertical="center"/>
    </xf>
    <xf numFmtId="0" fontId="257" fillId="0" borderId="80" xfId="0" applyFont="1" applyFill="1" applyBorder="1" applyAlignment="1">
      <alignment vertical="center" wrapText="1"/>
    </xf>
    <xf numFmtId="0" fontId="223" fillId="0" borderId="80" xfId="0" applyFont="1" applyFill="1" applyBorder="1" applyAlignment="1">
      <alignment horizontal="center" vertical="center" wrapText="1"/>
    </xf>
    <xf numFmtId="0" fontId="223" fillId="0" borderId="80" xfId="0" applyFont="1" applyFill="1" applyBorder="1" applyAlignment="1">
      <alignment horizontal="left" vertical="center" wrapText="1"/>
    </xf>
    <xf numFmtId="0" fontId="226" fillId="0" borderId="80" xfId="0" applyFont="1" applyFill="1" applyBorder="1"/>
    <xf numFmtId="0" fontId="226" fillId="0" borderId="80" xfId="0" applyFont="1" applyFill="1" applyBorder="1" applyAlignment="1">
      <alignment horizontal="left" vertical="center" wrapText="1"/>
    </xf>
    <xf numFmtId="0" fontId="226" fillId="0" borderId="80" xfId="0" applyFont="1" applyFill="1" applyBorder="1" applyAlignment="1">
      <alignment horizontal="center"/>
    </xf>
    <xf numFmtId="0" fontId="226" fillId="0" borderId="0" xfId="0" applyFont="1" applyFill="1"/>
    <xf numFmtId="192" fontId="223" fillId="0" borderId="80" xfId="0" applyNumberFormat="1" applyFont="1" applyFill="1" applyBorder="1"/>
    <xf numFmtId="0" fontId="223" fillId="0" borderId="81" xfId="0" applyFont="1" applyFill="1" applyBorder="1"/>
    <xf numFmtId="0" fontId="223" fillId="0" borderId="81" xfId="0" applyFont="1" applyFill="1" applyBorder="1" applyAlignment="1">
      <alignment horizontal="center"/>
    </xf>
    <xf numFmtId="0" fontId="223" fillId="0" borderId="0" xfId="0" applyFont="1" applyFill="1" applyAlignment="1">
      <alignment horizontal="center"/>
    </xf>
    <xf numFmtId="0" fontId="239" fillId="0" borderId="30" xfId="0" applyFont="1" applyFill="1" applyBorder="1" applyAlignment="1">
      <alignment horizontal="center" vertical="center"/>
    </xf>
    <xf numFmtId="0" fontId="226" fillId="0" borderId="80" xfId="0" applyFont="1" applyFill="1" applyBorder="1" applyAlignment="1">
      <alignment horizontal="center" vertical="center"/>
    </xf>
    <xf numFmtId="0" fontId="239" fillId="0" borderId="81" xfId="0" applyFont="1" applyFill="1" applyBorder="1" applyAlignment="1">
      <alignment horizontal="center" vertical="center"/>
    </xf>
    <xf numFmtId="0" fontId="239" fillId="0" borderId="0" xfId="0" applyFont="1" applyFill="1" applyAlignment="1">
      <alignment horizontal="center" vertical="center"/>
    </xf>
    <xf numFmtId="192" fontId="257" fillId="0" borderId="0" xfId="0" applyNumberFormat="1" applyFont="1" applyFill="1" applyBorder="1" applyAlignment="1">
      <alignment horizontal="center" vertical="center"/>
    </xf>
    <xf numFmtId="311" fontId="223" fillId="0" borderId="80" xfId="2016" applyNumberFormat="1" applyFont="1" applyFill="1" applyBorder="1" applyAlignment="1">
      <alignment horizontal="center" vertical="center"/>
    </xf>
    <xf numFmtId="312" fontId="223" fillId="0" borderId="80" xfId="943" applyNumberFormat="1" applyFont="1" applyFill="1" applyBorder="1" applyAlignment="1">
      <alignment horizontal="center" vertical="center" wrapText="1"/>
    </xf>
    <xf numFmtId="312" fontId="239" fillId="0" borderId="80" xfId="2016" applyNumberFormat="1" applyFont="1" applyFill="1" applyBorder="1" applyAlignment="1">
      <alignment horizontal="center" vertical="center"/>
    </xf>
    <xf numFmtId="217" fontId="239" fillId="0" borderId="80" xfId="943" applyNumberFormat="1" applyFont="1" applyFill="1" applyBorder="1" applyAlignment="1">
      <alignment horizontal="center" vertical="center"/>
    </xf>
    <xf numFmtId="311" fontId="239" fillId="0" borderId="30" xfId="2016" applyNumberFormat="1" applyFont="1" applyFill="1" applyBorder="1" applyAlignment="1">
      <alignment horizontal="center" vertical="center"/>
    </xf>
    <xf numFmtId="311" fontId="239" fillId="0" borderId="80" xfId="2016" applyNumberFormat="1" applyFont="1" applyFill="1" applyBorder="1" applyAlignment="1">
      <alignment horizontal="center" vertical="center"/>
    </xf>
    <xf numFmtId="311" fontId="239" fillId="0" borderId="80" xfId="0" applyNumberFormat="1" applyFont="1" applyFill="1" applyBorder="1" applyAlignment="1">
      <alignment horizontal="center" vertical="center"/>
    </xf>
    <xf numFmtId="311" fontId="239" fillId="0" borderId="80" xfId="943" applyNumberFormat="1" applyFont="1" applyFill="1" applyBorder="1" applyAlignment="1">
      <alignment horizontal="center" vertical="center"/>
    </xf>
    <xf numFmtId="312" fontId="223" fillId="0" borderId="80" xfId="2016" applyNumberFormat="1" applyFont="1" applyFill="1" applyBorder="1" applyAlignment="1">
      <alignment horizontal="center" vertical="center"/>
    </xf>
    <xf numFmtId="217" fontId="223" fillId="0" borderId="80" xfId="943" applyNumberFormat="1" applyFont="1" applyFill="1" applyBorder="1" applyAlignment="1">
      <alignment horizontal="center" vertical="center"/>
    </xf>
    <xf numFmtId="226" fontId="223" fillId="0" borderId="80" xfId="943" applyNumberFormat="1" applyFont="1" applyFill="1" applyBorder="1" applyAlignment="1">
      <alignment horizontal="center" vertical="center"/>
    </xf>
    <xf numFmtId="0" fontId="223" fillId="0" borderId="81" xfId="0" applyFont="1" applyFill="1" applyBorder="1" applyAlignment="1">
      <alignment horizontal="center" vertical="center"/>
    </xf>
    <xf numFmtId="0" fontId="223" fillId="0" borderId="0" xfId="0" applyFont="1" applyFill="1" applyAlignment="1">
      <alignment horizontal="center" vertical="center"/>
    </xf>
    <xf numFmtId="311" fontId="223" fillId="0" borderId="0" xfId="0" applyNumberFormat="1" applyFont="1" applyFill="1"/>
    <xf numFmtId="167" fontId="258" fillId="0" borderId="72" xfId="943" applyNumberFormat="1" applyFont="1" applyBorder="1"/>
    <xf numFmtId="167" fontId="0" fillId="0" borderId="72" xfId="943" applyNumberFormat="1" applyFont="1" applyBorder="1"/>
    <xf numFmtId="167" fontId="209" fillId="27" borderId="72" xfId="1000" applyNumberFormat="1" applyFont="1" applyFill="1" applyBorder="1" applyAlignment="1">
      <alignment horizontal="center" vertical="center" wrapText="1"/>
    </xf>
    <xf numFmtId="43" fontId="234" fillId="0" borderId="0" xfId="943" applyFont="1" applyFill="1" applyAlignment="1">
      <alignment horizontal="center"/>
    </xf>
    <xf numFmtId="0" fontId="233" fillId="0" borderId="0" xfId="0" applyFont="1" applyAlignment="1">
      <alignment vertical="center" wrapText="1"/>
    </xf>
    <xf numFmtId="0" fontId="243" fillId="0" borderId="0" xfId="0" applyFont="1" applyAlignment="1">
      <alignment horizontal="center" vertical="center" wrapText="1"/>
    </xf>
    <xf numFmtId="0" fontId="236" fillId="0" borderId="0" xfId="0" applyFont="1" applyAlignment="1">
      <alignment horizontal="center" vertical="center" wrapText="1"/>
    </xf>
    <xf numFmtId="0" fontId="236" fillId="0" borderId="0" xfId="1219" applyFont="1" applyAlignment="1">
      <alignment horizontal="center" vertical="center"/>
    </xf>
    <xf numFmtId="0" fontId="235" fillId="0" borderId="0" xfId="0" applyFont="1" applyAlignment="1">
      <alignment horizontal="center" vertical="center" wrapText="1"/>
    </xf>
    <xf numFmtId="0" fontId="236" fillId="0" borderId="1" xfId="0" applyFont="1" applyBorder="1" applyAlignment="1">
      <alignment horizontal="center" vertical="center" wrapText="1"/>
    </xf>
    <xf numFmtId="166" fontId="236" fillId="50" borderId="1" xfId="943" applyNumberFormat="1" applyFont="1" applyFill="1" applyBorder="1" applyAlignment="1">
      <alignment horizontal="center" vertical="center" wrapText="1"/>
    </xf>
    <xf numFmtId="0" fontId="236" fillId="0" borderId="62" xfId="0" applyFont="1" applyBorder="1" applyAlignment="1">
      <alignment horizontal="center" vertical="center" wrapText="1"/>
    </xf>
    <xf numFmtId="0" fontId="236" fillId="0" borderId="63" xfId="0" applyFont="1" applyBorder="1" applyAlignment="1">
      <alignment horizontal="center" vertical="center" wrapText="1"/>
    </xf>
    <xf numFmtId="0" fontId="236" fillId="0" borderId="66" xfId="0" applyFont="1" applyBorder="1" applyAlignment="1">
      <alignment horizontal="center" vertical="center" wrapText="1"/>
    </xf>
    <xf numFmtId="166" fontId="239" fillId="0" borderId="1" xfId="943" applyNumberFormat="1" applyFont="1" applyBorder="1" applyAlignment="1">
      <alignment horizontal="center" vertical="center" wrapText="1"/>
    </xf>
    <xf numFmtId="166" fontId="223" fillId="0" borderId="0" xfId="943" applyNumberFormat="1" applyFont="1" applyAlignment="1">
      <alignment horizontal="center" vertical="center"/>
    </xf>
    <xf numFmtId="167" fontId="235" fillId="0" borderId="0" xfId="943" applyNumberFormat="1" applyFont="1" applyAlignment="1">
      <alignment horizontal="center" vertical="center"/>
    </xf>
    <xf numFmtId="167" fontId="223" fillId="0" borderId="0" xfId="943" applyNumberFormat="1" applyFont="1" applyAlignment="1">
      <alignment vertical="center" wrapText="1"/>
    </xf>
    <xf numFmtId="166" fontId="226" fillId="0" borderId="0" xfId="943" applyNumberFormat="1" applyFont="1" applyAlignment="1">
      <alignment horizontal="center" vertical="center" wrapText="1"/>
    </xf>
    <xf numFmtId="166" fontId="239" fillId="0" borderId="0" xfId="943" applyNumberFormat="1" applyFont="1" applyAlignment="1">
      <alignment horizontal="center" vertical="center" wrapText="1"/>
    </xf>
    <xf numFmtId="190" fontId="251" fillId="0" borderId="0" xfId="943" applyNumberFormat="1" applyFont="1" applyAlignment="1">
      <alignment horizontal="center" vertical="center"/>
    </xf>
    <xf numFmtId="167" fontId="239" fillId="0" borderId="1" xfId="943" applyNumberFormat="1" applyFont="1" applyBorder="1" applyAlignment="1">
      <alignment horizontal="center" vertical="center" wrapText="1"/>
    </xf>
    <xf numFmtId="190" fontId="239" fillId="0" borderId="1" xfId="943" applyNumberFormat="1" applyFont="1" applyBorder="1" applyAlignment="1">
      <alignment horizontal="center" vertical="center" wrapText="1"/>
    </xf>
    <xf numFmtId="167" fontId="236" fillId="0" borderId="0" xfId="943" applyNumberFormat="1" applyFont="1" applyAlignment="1">
      <alignment horizontal="center" vertical="center"/>
    </xf>
    <xf numFmtId="167" fontId="237" fillId="0" borderId="0" xfId="943" applyNumberFormat="1" applyFont="1" applyAlignment="1">
      <alignment horizontal="center" vertical="center"/>
    </xf>
    <xf numFmtId="167" fontId="236" fillId="0" borderId="1" xfId="943" applyNumberFormat="1" applyFont="1" applyBorder="1" applyAlignment="1">
      <alignment horizontal="center" vertical="center" wrapText="1"/>
    </xf>
    <xf numFmtId="167" fontId="236" fillId="0" borderId="60" xfId="943" applyNumberFormat="1" applyFont="1" applyBorder="1" applyAlignment="1">
      <alignment horizontal="center" vertical="center" wrapText="1"/>
    </xf>
    <xf numFmtId="43" fontId="236" fillId="0" borderId="1" xfId="943" applyFont="1" applyBorder="1" applyAlignment="1">
      <alignment horizontal="center" vertical="center" wrapText="1"/>
    </xf>
    <xf numFmtId="43" fontId="236" fillId="0" borderId="60" xfId="943" applyFont="1" applyBorder="1" applyAlignment="1">
      <alignment horizontal="center" vertical="center" wrapText="1"/>
    </xf>
    <xf numFmtId="167" fontId="236" fillId="0" borderId="62" xfId="943" applyNumberFormat="1" applyFont="1" applyBorder="1" applyAlignment="1">
      <alignment horizontal="center" vertical="center" wrapText="1"/>
    </xf>
    <xf numFmtId="167" fontId="236" fillId="0" borderId="63" xfId="943" applyNumberFormat="1" applyFont="1" applyBorder="1" applyAlignment="1">
      <alignment horizontal="center" vertical="center" wrapText="1"/>
    </xf>
    <xf numFmtId="167" fontId="236" fillId="0" borderId="61" xfId="943" applyNumberFormat="1" applyFont="1" applyBorder="1" applyAlignment="1">
      <alignment horizontal="center" vertical="center" wrapText="1"/>
    </xf>
    <xf numFmtId="167" fontId="236" fillId="0" borderId="12" xfId="943" applyNumberFormat="1" applyFont="1" applyBorder="1" applyAlignment="1">
      <alignment horizontal="center" vertical="center" wrapText="1"/>
    </xf>
    <xf numFmtId="167" fontId="236" fillId="0" borderId="10" xfId="943" applyNumberFormat="1" applyFont="1" applyBorder="1" applyAlignment="1">
      <alignment horizontal="center" vertical="center" wrapText="1"/>
    </xf>
    <xf numFmtId="43" fontId="236" fillId="0" borderId="65" xfId="943" applyFont="1" applyBorder="1" applyAlignment="1">
      <alignment horizontal="center" vertical="center" wrapText="1"/>
    </xf>
    <xf numFmtId="43" fontId="236" fillId="0" borderId="59" xfId="943" applyFont="1" applyBorder="1" applyAlignment="1">
      <alignment horizontal="center" vertical="center" wrapText="1"/>
    </xf>
    <xf numFmtId="190" fontId="236" fillId="0" borderId="61" xfId="943" applyNumberFormat="1" applyFont="1" applyBorder="1" applyAlignment="1">
      <alignment horizontal="center" vertical="center" wrapText="1"/>
    </xf>
    <xf numFmtId="190" fontId="236" fillId="0" borderId="10" xfId="943" applyNumberFormat="1" applyFont="1" applyBorder="1" applyAlignment="1">
      <alignment horizontal="center" vertical="center" wrapText="1"/>
    </xf>
    <xf numFmtId="167" fontId="236" fillId="0" borderId="65" xfId="943" applyNumberFormat="1" applyFont="1" applyBorder="1" applyAlignment="1">
      <alignment horizontal="center" vertical="center" wrapText="1"/>
    </xf>
    <xf numFmtId="167" fontId="236" fillId="0" borderId="59" xfId="943" applyNumberFormat="1" applyFont="1" applyBorder="1" applyAlignment="1">
      <alignment horizontal="center" vertical="center" wrapText="1"/>
    </xf>
    <xf numFmtId="167" fontId="236" fillId="0" borderId="27" xfId="943" applyNumberFormat="1" applyFont="1" applyBorder="1" applyAlignment="1">
      <alignment horizontal="center" vertical="center" wrapText="1"/>
    </xf>
    <xf numFmtId="167" fontId="233" fillId="0" borderId="0" xfId="943" applyNumberFormat="1" applyFont="1" applyAlignment="1">
      <alignment horizontal="center" vertical="center" wrapText="1"/>
    </xf>
    <xf numFmtId="167" fontId="243" fillId="0" borderId="0" xfId="943" applyNumberFormat="1" applyFont="1" applyAlignment="1">
      <alignment horizontal="center" vertical="center" wrapText="1"/>
    </xf>
    <xf numFmtId="167" fontId="236" fillId="0" borderId="0" xfId="943" applyNumberFormat="1" applyFont="1" applyAlignment="1">
      <alignment horizontal="center" vertical="center" wrapText="1"/>
    </xf>
    <xf numFmtId="167" fontId="239" fillId="0" borderId="0" xfId="943" applyNumberFormat="1" applyFont="1" applyBorder="1" applyAlignment="1">
      <alignment horizontal="center" vertical="center"/>
    </xf>
    <xf numFmtId="167" fontId="237" fillId="0" borderId="0" xfId="943" applyNumberFormat="1" applyFont="1" applyBorder="1" applyAlignment="1">
      <alignment horizontal="center" vertical="center"/>
    </xf>
    <xf numFmtId="167" fontId="226" fillId="0" borderId="50" xfId="943" applyNumberFormat="1" applyFont="1" applyBorder="1" applyAlignment="1">
      <alignment horizontal="center" vertical="center"/>
    </xf>
    <xf numFmtId="167" fontId="235" fillId="0" borderId="0" xfId="943" applyNumberFormat="1" applyFont="1" applyBorder="1" applyAlignment="1">
      <alignment horizontal="center" vertical="center"/>
    </xf>
    <xf numFmtId="0" fontId="231" fillId="0" borderId="0" xfId="0" applyFont="1" applyAlignment="1">
      <alignment horizontal="center" vertical="center" wrapText="1"/>
    </xf>
    <xf numFmtId="0" fontId="220" fillId="27" borderId="65" xfId="0" applyFont="1" applyFill="1" applyBorder="1" applyAlignment="1">
      <alignment horizontal="center" vertical="center" wrapText="1"/>
    </xf>
    <xf numFmtId="0" fontId="220" fillId="27" borderId="64" xfId="0" applyFont="1" applyFill="1" applyBorder="1" applyAlignment="1">
      <alignment horizontal="center" vertical="center" wrapText="1"/>
    </xf>
    <xf numFmtId="0" fontId="228" fillId="0" borderId="0" xfId="0" applyFont="1" applyAlignment="1">
      <alignment horizontal="center" vertical="center" wrapText="1"/>
    </xf>
    <xf numFmtId="0" fontId="220" fillId="27" borderId="27" xfId="0" applyFont="1" applyFill="1" applyBorder="1" applyAlignment="1">
      <alignment horizontal="center" vertical="center" wrapText="1"/>
    </xf>
    <xf numFmtId="0" fontId="220" fillId="27" borderId="10" xfId="0" applyFont="1" applyFill="1" applyBorder="1" applyAlignment="1">
      <alignment horizontal="center" vertical="center" wrapText="1"/>
    </xf>
    <xf numFmtId="0" fontId="220" fillId="27" borderId="56" xfId="0" applyFont="1" applyFill="1" applyBorder="1" applyAlignment="1">
      <alignment horizontal="center" vertical="center" wrapText="1"/>
    </xf>
    <xf numFmtId="0" fontId="220" fillId="27" borderId="57" xfId="0" applyFont="1" applyFill="1" applyBorder="1" applyAlignment="1">
      <alignment horizontal="center" vertical="center" wrapText="1"/>
    </xf>
    <xf numFmtId="0" fontId="227" fillId="0" borderId="0" xfId="0" applyFont="1" applyBorder="1" applyAlignment="1">
      <alignment horizontal="center" vertical="center" wrapText="1"/>
    </xf>
    <xf numFmtId="0" fontId="222" fillId="0" borderId="0" xfId="0" applyFont="1" applyAlignment="1">
      <alignment horizontal="center" vertical="center" wrapText="1"/>
    </xf>
    <xf numFmtId="0" fontId="227" fillId="0" borderId="0" xfId="0" applyFont="1" applyAlignment="1">
      <alignment horizontal="center" vertical="center"/>
    </xf>
    <xf numFmtId="0" fontId="229" fillId="0" borderId="50" xfId="0" applyFont="1" applyBorder="1" applyAlignment="1">
      <alignment horizontal="center" vertical="center"/>
    </xf>
    <xf numFmtId="43" fontId="239" fillId="0" borderId="25" xfId="943" applyFont="1" applyFill="1" applyBorder="1" applyAlignment="1">
      <alignment horizontal="center" vertical="center"/>
    </xf>
    <xf numFmtId="43" fontId="239" fillId="0" borderId="23" xfId="943" applyFont="1" applyFill="1" applyBorder="1" applyAlignment="1">
      <alignment horizontal="center" vertical="center"/>
    </xf>
    <xf numFmtId="43" fontId="239" fillId="0" borderId="27" xfId="943" applyFont="1" applyFill="1" applyBorder="1" applyAlignment="1">
      <alignment horizontal="center" vertical="center" wrapText="1"/>
    </xf>
    <xf numFmtId="43" fontId="239" fillId="0" borderId="12" xfId="943" applyFont="1" applyFill="1" applyBorder="1" applyAlignment="1">
      <alignment horizontal="center" vertical="center" wrapText="1"/>
    </xf>
    <xf numFmtId="43" fontId="239" fillId="0" borderId="10" xfId="943" applyFont="1" applyFill="1" applyBorder="1" applyAlignment="1">
      <alignment horizontal="center" vertical="center" wrapText="1"/>
    </xf>
    <xf numFmtId="43" fontId="237" fillId="0" borderId="0" xfId="943" applyFont="1" applyFill="1"/>
    <xf numFmtId="43" fontId="245" fillId="0" borderId="0" xfId="943" applyFont="1" applyFill="1" applyAlignment="1">
      <alignment horizontal="center"/>
    </xf>
    <xf numFmtId="43" fontId="237" fillId="0" borderId="0" xfId="943" applyFont="1" applyFill="1" applyAlignment="1">
      <alignment horizontal="center" wrapText="1"/>
    </xf>
    <xf numFmtId="167" fontId="239" fillId="0" borderId="1" xfId="943" applyNumberFormat="1" applyFont="1" applyFill="1" applyBorder="1" applyAlignment="1">
      <alignment horizontal="center" vertical="center"/>
    </xf>
    <xf numFmtId="43" fontId="239" fillId="0" borderId="1" xfId="943" applyFont="1" applyFill="1" applyBorder="1" applyAlignment="1">
      <alignment horizontal="center" vertical="center"/>
    </xf>
    <xf numFmtId="43" fontId="239" fillId="0" borderId="56" xfId="943" applyFont="1" applyFill="1" applyBorder="1" applyAlignment="1">
      <alignment horizontal="center" vertical="center" wrapText="1"/>
    </xf>
    <xf numFmtId="43" fontId="239" fillId="0" borderId="55" xfId="943" applyFont="1" applyFill="1" applyBorder="1" applyAlignment="1">
      <alignment horizontal="center" vertical="center" wrapText="1"/>
    </xf>
    <xf numFmtId="43" fontId="239" fillId="0" borderId="59" xfId="943" applyFont="1" applyFill="1" applyBorder="1" applyAlignment="1">
      <alignment horizontal="center" vertical="center" wrapText="1"/>
    </xf>
    <xf numFmtId="167" fontId="239" fillId="0" borderId="27" xfId="943" applyNumberFormat="1" applyFont="1" applyFill="1" applyBorder="1" applyAlignment="1">
      <alignment horizontal="center" vertical="center" wrapText="1"/>
    </xf>
    <xf numFmtId="167" fontId="239" fillId="0" borderId="12" xfId="943" applyNumberFormat="1" applyFont="1" applyFill="1" applyBorder="1" applyAlignment="1">
      <alignment horizontal="center" vertical="center" wrapText="1"/>
    </xf>
    <xf numFmtId="167" fontId="239" fillId="0" borderId="10" xfId="943" applyNumberFormat="1" applyFont="1" applyFill="1" applyBorder="1" applyAlignment="1">
      <alignment horizontal="center" vertical="center" wrapText="1"/>
    </xf>
    <xf numFmtId="43" fontId="239" fillId="0" borderId="61" xfId="943" applyFont="1" applyFill="1" applyBorder="1" applyAlignment="1">
      <alignment horizontal="center" vertical="center" wrapText="1"/>
    </xf>
    <xf numFmtId="43" fontId="234" fillId="0" borderId="27" xfId="943" applyFont="1" applyFill="1" applyBorder="1" applyAlignment="1">
      <alignment horizontal="center" vertical="center" wrapText="1"/>
    </xf>
    <xf numFmtId="43" fontId="234" fillId="0" borderId="12" xfId="943" applyFont="1" applyFill="1" applyBorder="1" applyAlignment="1">
      <alignment horizontal="center" vertical="center" wrapText="1"/>
    </xf>
    <xf numFmtId="43" fontId="234" fillId="0" borderId="10" xfId="943" applyFont="1" applyFill="1" applyBorder="1" applyAlignment="1">
      <alignment horizontal="center" vertical="center" wrapText="1"/>
    </xf>
    <xf numFmtId="43" fontId="234" fillId="0" borderId="25" xfId="943" applyFont="1" applyFill="1" applyBorder="1" applyAlignment="1">
      <alignment horizontal="center" vertical="center" wrapText="1"/>
    </xf>
    <xf numFmtId="43" fontId="234" fillId="0" borderId="23" xfId="943" applyFont="1" applyFill="1" applyBorder="1" applyAlignment="1">
      <alignment horizontal="center" vertical="center" wrapText="1"/>
    </xf>
    <xf numFmtId="43" fontId="239" fillId="0" borderId="1" xfId="943" applyFont="1" applyFill="1" applyBorder="1" applyAlignment="1">
      <alignment horizontal="center" vertical="center" wrapText="1"/>
    </xf>
    <xf numFmtId="43" fontId="239" fillId="0" borderId="25" xfId="943" applyFont="1" applyFill="1" applyBorder="1" applyAlignment="1">
      <alignment horizontal="center" vertical="center" wrapText="1"/>
    </xf>
    <xf numFmtId="43" fontId="239" fillId="0" borderId="78" xfId="943" applyFont="1" applyFill="1" applyBorder="1" applyAlignment="1">
      <alignment horizontal="center" vertical="center" wrapText="1"/>
    </xf>
    <xf numFmtId="43" fontId="239" fillId="0" borderId="77" xfId="943" applyFont="1" applyFill="1" applyBorder="1" applyAlignment="1">
      <alignment horizontal="center" vertical="center" wrapText="1"/>
    </xf>
    <xf numFmtId="43" fontId="239" fillId="0" borderId="12" xfId="943" applyFont="1" applyFill="1" applyBorder="1" applyAlignment="1">
      <alignment horizontal="center" vertical="center"/>
    </xf>
    <xf numFmtId="43" fontId="239" fillId="0" borderId="77" xfId="943" applyFont="1" applyFill="1" applyBorder="1" applyAlignment="1">
      <alignment horizontal="center" vertical="center"/>
    </xf>
    <xf numFmtId="167" fontId="234" fillId="0" borderId="27" xfId="943" applyNumberFormat="1" applyFont="1" applyFill="1" applyBorder="1" applyAlignment="1">
      <alignment horizontal="center" vertical="center" wrapText="1"/>
    </xf>
    <xf numFmtId="167" fontId="234" fillId="0" borderId="12" xfId="943" applyNumberFormat="1" applyFont="1" applyFill="1" applyBorder="1" applyAlignment="1">
      <alignment horizontal="center" vertical="center" wrapText="1"/>
    </xf>
    <xf numFmtId="167" fontId="234" fillId="0" borderId="10" xfId="943" applyNumberFormat="1" applyFont="1" applyFill="1" applyBorder="1" applyAlignment="1">
      <alignment horizontal="center" vertical="center" wrapText="1"/>
    </xf>
    <xf numFmtId="43" fontId="234" fillId="0" borderId="25" xfId="943" applyFont="1" applyFill="1" applyBorder="1" applyAlignment="1">
      <alignment horizontal="center" vertical="center"/>
    </xf>
    <xf numFmtId="43" fontId="234" fillId="0" borderId="54" xfId="943" applyFont="1" applyFill="1" applyBorder="1" applyAlignment="1">
      <alignment horizontal="center" vertical="center"/>
    </xf>
    <xf numFmtId="43" fontId="239" fillId="0" borderId="48" xfId="943" applyFont="1" applyFill="1" applyBorder="1" applyAlignment="1">
      <alignment horizontal="center" vertical="center"/>
    </xf>
    <xf numFmtId="43" fontId="239" fillId="0" borderId="51" xfId="943" applyFont="1" applyFill="1" applyBorder="1" applyAlignment="1">
      <alignment horizontal="center" vertical="center" wrapText="1"/>
    </xf>
    <xf numFmtId="43" fontId="234" fillId="0" borderId="57" xfId="943" applyFont="1" applyFill="1" applyBorder="1" applyAlignment="1">
      <alignment horizontal="center" vertical="center" wrapText="1"/>
    </xf>
    <xf numFmtId="43" fontId="234" fillId="0" borderId="58" xfId="943" applyFont="1" applyFill="1" applyBorder="1" applyAlignment="1">
      <alignment horizontal="center" vertical="center" wrapText="1"/>
    </xf>
    <xf numFmtId="43" fontId="234" fillId="0" borderId="56" xfId="943" applyFont="1" applyFill="1" applyBorder="1" applyAlignment="1">
      <alignment horizontal="center" vertical="center" wrapText="1"/>
    </xf>
    <xf numFmtId="43" fontId="234" fillId="0" borderId="59" xfId="943" applyFont="1" applyFill="1" applyBorder="1" applyAlignment="1">
      <alignment horizontal="center" vertical="center" wrapText="1"/>
    </xf>
    <xf numFmtId="0" fontId="239" fillId="0" borderId="0" xfId="0" applyFont="1" applyFill="1" applyAlignment="1">
      <alignment horizontal="left"/>
    </xf>
    <xf numFmtId="0" fontId="239" fillId="0" borderId="0" xfId="0" applyFont="1" applyFill="1" applyAlignment="1">
      <alignment horizontal="center"/>
    </xf>
    <xf numFmtId="0" fontId="226" fillId="0" borderId="50" xfId="0" applyFont="1" applyFill="1" applyBorder="1" applyAlignment="1">
      <alignment horizontal="right"/>
    </xf>
    <xf numFmtId="0" fontId="239" fillId="0" borderId="76" xfId="0" applyFont="1" applyFill="1" applyBorder="1" applyAlignment="1">
      <alignment horizontal="center" vertical="center"/>
    </xf>
    <xf numFmtId="0" fontId="239" fillId="0" borderId="12" xfId="0" applyFont="1" applyFill="1" applyBorder="1" applyAlignment="1">
      <alignment horizontal="center" vertical="center"/>
    </xf>
    <xf numFmtId="0" fontId="239" fillId="0" borderId="10" xfId="0" applyFont="1" applyFill="1" applyBorder="1" applyAlignment="1">
      <alignment horizontal="center" vertical="center"/>
    </xf>
    <xf numFmtId="0" fontId="239" fillId="0" borderId="76" xfId="0" applyFont="1" applyFill="1" applyBorder="1" applyAlignment="1">
      <alignment horizontal="center" vertical="center" wrapText="1"/>
    </xf>
    <xf numFmtId="0" fontId="239" fillId="0" borderId="12" xfId="0" applyFont="1" applyFill="1" applyBorder="1" applyAlignment="1">
      <alignment horizontal="center" vertical="center" wrapText="1"/>
    </xf>
    <xf numFmtId="0" fontId="239" fillId="0" borderId="10" xfId="0" applyFont="1" applyFill="1" applyBorder="1" applyAlignment="1">
      <alignment horizontal="center" vertical="center" wrapText="1"/>
    </xf>
    <xf numFmtId="167" fontId="246" fillId="0" borderId="1" xfId="943" applyNumberFormat="1" applyFont="1" applyFill="1" applyBorder="1" applyAlignment="1">
      <alignment horizontal="center" vertical="center" wrapText="1"/>
    </xf>
    <xf numFmtId="167" fontId="246" fillId="0" borderId="27" xfId="943" applyNumberFormat="1" applyFont="1" applyFill="1" applyBorder="1" applyAlignment="1">
      <alignment horizontal="center" vertical="center" wrapText="1"/>
    </xf>
    <xf numFmtId="167" fontId="246" fillId="0" borderId="10" xfId="943" applyNumberFormat="1" applyFont="1" applyFill="1" applyBorder="1" applyAlignment="1">
      <alignment horizontal="center" vertical="center" wrapText="1"/>
    </xf>
    <xf numFmtId="167" fontId="246" fillId="0" borderId="25" xfId="943" applyNumberFormat="1" applyFont="1" applyFill="1" applyBorder="1" applyAlignment="1">
      <alignment horizontal="center" vertical="center" wrapText="1"/>
    </xf>
    <xf numFmtId="167" fontId="246" fillId="0" borderId="23" xfId="943" applyNumberFormat="1" applyFont="1" applyFill="1" applyBorder="1" applyAlignment="1">
      <alignment horizontal="center" vertical="center" wrapText="1"/>
    </xf>
    <xf numFmtId="167" fontId="223" fillId="0" borderId="0" xfId="943" applyNumberFormat="1" applyFont="1" applyFill="1" applyAlignment="1">
      <alignment horizontal="center"/>
    </xf>
    <xf numFmtId="306" fontId="251" fillId="0" borderId="0" xfId="0" applyNumberFormat="1" applyFont="1" applyFill="1" applyBorder="1" applyAlignment="1">
      <alignment horizontal="center"/>
    </xf>
    <xf numFmtId="167" fontId="246" fillId="0" borderId="73" xfId="943" applyNumberFormat="1" applyFont="1" applyFill="1" applyBorder="1" applyAlignment="1">
      <alignment horizontal="center" vertical="center" wrapText="1"/>
    </xf>
    <xf numFmtId="167" fontId="246" fillId="0" borderId="74" xfId="943" applyNumberFormat="1" applyFont="1" applyFill="1" applyBorder="1" applyAlignment="1">
      <alignment horizontal="center" vertical="center" wrapText="1"/>
    </xf>
    <xf numFmtId="0" fontId="251" fillId="0" borderId="0" xfId="0" applyFont="1" applyFill="1" applyAlignment="1">
      <alignment horizontal="center"/>
    </xf>
    <xf numFmtId="167" fontId="246" fillId="0" borderId="25" xfId="943" applyNumberFormat="1" applyFont="1" applyFill="1" applyBorder="1" applyAlignment="1">
      <alignment horizontal="center" vertical="center"/>
    </xf>
    <xf numFmtId="167" fontId="246" fillId="0" borderId="23" xfId="943" applyNumberFormat="1" applyFont="1" applyFill="1" applyBorder="1" applyAlignment="1">
      <alignment horizontal="center" vertical="center"/>
    </xf>
    <xf numFmtId="0" fontId="243" fillId="0" borderId="50" xfId="0" applyFont="1" applyFill="1" applyBorder="1" applyAlignment="1">
      <alignment horizontal="center"/>
    </xf>
    <xf numFmtId="0" fontId="251" fillId="0" borderId="0" xfId="0" applyFont="1" applyFill="1" applyAlignment="1">
      <alignment horizontal="center" vertical="center"/>
    </xf>
    <xf numFmtId="0" fontId="246" fillId="0" borderId="1" xfId="0" applyFont="1" applyFill="1" applyBorder="1" applyAlignment="1">
      <alignment horizontal="center" vertical="center" wrapText="1"/>
    </xf>
    <xf numFmtId="0" fontId="204" fillId="0" borderId="0" xfId="0" applyFont="1" applyAlignment="1">
      <alignment vertical="center" wrapText="1"/>
    </xf>
    <xf numFmtId="0" fontId="207" fillId="0" borderId="0" xfId="0" applyFont="1" applyAlignment="1">
      <alignment horizontal="center" vertical="center" wrapText="1"/>
    </xf>
    <xf numFmtId="0" fontId="203" fillId="0" borderId="0" xfId="0" applyFont="1" applyAlignment="1">
      <alignment horizontal="center" vertical="center" wrapText="1"/>
    </xf>
    <xf numFmtId="0" fontId="1" fillId="0" borderId="0" xfId="1219" applyFont="1" applyAlignment="1">
      <alignment horizontal="center" vertical="center"/>
    </xf>
    <xf numFmtId="0" fontId="2" fillId="0" borderId="0" xfId="0" applyFont="1" applyAlignment="1">
      <alignment horizontal="center" vertical="center" wrapText="1"/>
    </xf>
    <xf numFmtId="0" fontId="203" fillId="0" borderId="52" xfId="0" applyFont="1" applyBorder="1" applyAlignment="1">
      <alignment horizontal="center" vertical="center" wrapText="1"/>
    </xf>
    <xf numFmtId="0" fontId="203" fillId="0" borderId="48" xfId="0" applyFont="1" applyBorder="1" applyAlignment="1">
      <alignment horizontal="center" vertical="center" wrapText="1"/>
    </xf>
    <xf numFmtId="166" fontId="203" fillId="0" borderId="52" xfId="943" applyNumberFormat="1" applyFont="1" applyBorder="1" applyAlignment="1">
      <alignment horizontal="center" vertical="center" wrapText="1"/>
    </xf>
    <xf numFmtId="166" fontId="203" fillId="0" borderId="48" xfId="943" applyNumberFormat="1" applyFont="1" applyBorder="1" applyAlignment="1">
      <alignment horizontal="center" vertical="center" wrapText="1"/>
    </xf>
    <xf numFmtId="167" fontId="204" fillId="0" borderId="0" xfId="943" applyNumberFormat="1" applyFont="1" applyAlignment="1">
      <alignment vertical="center" wrapText="1"/>
    </xf>
    <xf numFmtId="190" fontId="207" fillId="0" borderId="0" xfId="943" applyNumberFormat="1" applyFont="1" applyAlignment="1">
      <alignment horizontal="center" vertical="center" wrapText="1"/>
    </xf>
    <xf numFmtId="190" fontId="203" fillId="0" borderId="0" xfId="943" applyNumberFormat="1" applyFont="1" applyAlignment="1">
      <alignment horizontal="center" vertical="center" wrapText="1"/>
    </xf>
    <xf numFmtId="190" fontId="1" fillId="0" borderId="0" xfId="943" applyNumberFormat="1" applyFont="1" applyAlignment="1">
      <alignment horizontal="center" vertical="center"/>
    </xf>
    <xf numFmtId="190" fontId="203" fillId="0" borderId="0" xfId="943" applyNumberFormat="1" applyFont="1" applyAlignment="1">
      <alignment horizontal="center" vertical="center"/>
    </xf>
    <xf numFmtId="167" fontId="203" fillId="0" borderId="52" xfId="943" applyNumberFormat="1" applyFont="1" applyBorder="1" applyAlignment="1">
      <alignment horizontal="center" vertical="center" wrapText="1"/>
    </xf>
    <xf numFmtId="167" fontId="203" fillId="0" borderId="48" xfId="943" applyNumberFormat="1" applyFont="1" applyBorder="1" applyAlignment="1">
      <alignment horizontal="center" vertical="center" wrapText="1"/>
    </xf>
    <xf numFmtId="190" fontId="203" fillId="0" borderId="52" xfId="943" applyNumberFormat="1" applyFont="1" applyBorder="1" applyAlignment="1">
      <alignment horizontal="center" vertical="center" wrapText="1"/>
    </xf>
    <xf numFmtId="190" fontId="203" fillId="0" borderId="48" xfId="943" applyNumberFormat="1" applyFont="1" applyBorder="1" applyAlignment="1">
      <alignment horizontal="center" vertical="center" wrapText="1"/>
    </xf>
    <xf numFmtId="0" fontId="239" fillId="50" borderId="61" xfId="918" applyNumberFormat="1" applyFont="1" applyFill="1" applyBorder="1" applyAlignment="1">
      <alignment horizontal="center" vertical="center" wrapText="1"/>
    </xf>
    <xf numFmtId="0" fontId="253" fillId="50" borderId="61" xfId="918" applyFont="1" applyFill="1" applyBorder="1" applyAlignment="1">
      <alignment horizontal="center" vertical="center"/>
    </xf>
    <xf numFmtId="0" fontId="253" fillId="50" borderId="10" xfId="918" applyFont="1" applyFill="1" applyBorder="1" applyAlignment="1">
      <alignment horizontal="center" vertical="center"/>
    </xf>
    <xf numFmtId="0" fontId="239" fillId="50" borderId="61" xfId="918" applyNumberFormat="1" applyFont="1" applyFill="1" applyBorder="1" applyAlignment="1">
      <alignment horizontal="center" vertical="center"/>
    </xf>
    <xf numFmtId="0" fontId="239" fillId="50" borderId="10" xfId="918" applyNumberFormat="1" applyFont="1" applyFill="1" applyBorder="1" applyAlignment="1">
      <alignment horizontal="center" vertical="center"/>
    </xf>
    <xf numFmtId="0" fontId="223" fillId="0" borderId="0" xfId="918" applyFont="1" applyFill="1" applyAlignment="1">
      <alignment horizontal="right"/>
    </xf>
    <xf numFmtId="0" fontId="252" fillId="0" borderId="0" xfId="918" applyNumberFormat="1" applyFont="1" applyFill="1" applyBorder="1" applyAlignment="1">
      <alignment horizontal="center"/>
    </xf>
    <xf numFmtId="0" fontId="251" fillId="0" borderId="0" xfId="918" applyFont="1" applyFill="1" applyAlignment="1">
      <alignment horizontal="center" vertical="center"/>
    </xf>
    <xf numFmtId="0" fontId="231" fillId="0" borderId="50" xfId="918" applyNumberFormat="1" applyFont="1" applyFill="1" applyBorder="1" applyAlignment="1">
      <alignment horizontal="right"/>
    </xf>
    <xf numFmtId="0" fontId="239" fillId="0" borderId="60" xfId="918" quotePrefix="1" applyFont="1" applyFill="1" applyBorder="1" applyAlignment="1">
      <alignment horizontal="center" vertical="center"/>
    </xf>
    <xf numFmtId="0" fontId="239" fillId="27" borderId="76" xfId="918" applyNumberFormat="1" applyFont="1" applyFill="1" applyBorder="1" applyAlignment="1">
      <alignment horizontal="center" vertical="center" wrapText="1"/>
    </xf>
    <xf numFmtId="0" fontId="239" fillId="27" borderId="12" xfId="918" applyNumberFormat="1" applyFont="1" applyFill="1" applyBorder="1" applyAlignment="1">
      <alignment horizontal="center" vertical="center" wrapText="1"/>
    </xf>
    <xf numFmtId="0" fontId="239" fillId="27" borderId="10" xfId="918" applyNumberFormat="1" applyFont="1" applyFill="1" applyBorder="1" applyAlignment="1">
      <alignment horizontal="center" vertical="center" wrapText="1"/>
    </xf>
    <xf numFmtId="0" fontId="239" fillId="27" borderId="61" xfId="918" applyNumberFormat="1" applyFont="1" applyFill="1" applyBorder="1" applyAlignment="1">
      <alignment horizontal="center" vertical="center" wrapText="1"/>
    </xf>
    <xf numFmtId="0" fontId="239" fillId="27" borderId="73" xfId="918" applyNumberFormat="1" applyFont="1" applyFill="1" applyBorder="1" applyAlignment="1">
      <alignment horizontal="center" vertical="center"/>
    </xf>
    <xf numFmtId="0" fontId="239" fillId="27" borderId="74" xfId="918" applyNumberFormat="1" applyFont="1" applyFill="1" applyBorder="1" applyAlignment="1">
      <alignment horizontal="center" vertical="center"/>
    </xf>
    <xf numFmtId="0" fontId="239" fillId="27" borderId="75" xfId="918" applyNumberFormat="1" applyFont="1" applyFill="1" applyBorder="1" applyAlignment="1">
      <alignment horizontal="center" vertical="center"/>
    </xf>
    <xf numFmtId="0" fontId="239" fillId="50" borderId="65" xfId="918" applyNumberFormat="1" applyFont="1" applyFill="1" applyBorder="1" applyAlignment="1">
      <alignment horizontal="center" vertical="center" wrapText="1"/>
    </xf>
    <xf numFmtId="0" fontId="239" fillId="50" borderId="64" xfId="918" applyNumberFormat="1" applyFont="1" applyFill="1" applyBorder="1" applyAlignment="1">
      <alignment horizontal="center" vertical="center" wrapText="1"/>
    </xf>
    <xf numFmtId="0" fontId="239" fillId="50" borderId="59" xfId="918" applyNumberFormat="1" applyFont="1" applyFill="1" applyBorder="1" applyAlignment="1">
      <alignment horizontal="center" vertical="center" wrapText="1"/>
    </xf>
    <xf numFmtId="0" fontId="239" fillId="50" borderId="58" xfId="918" applyNumberFormat="1" applyFont="1" applyFill="1" applyBorder="1" applyAlignment="1">
      <alignment horizontal="center" vertical="center" wrapText="1"/>
    </xf>
  </cellXfs>
  <cellStyles count="2017">
    <cellStyle name="_x0001_" xfId="1"/>
    <cellStyle name="          _x000d__x000a_shell=progman.exe_x000d__x000a_m" xfId="2"/>
    <cellStyle name="          _x000d__x000a_shell=progman.exe_x000d__x000a_m 2" xfId="3"/>
    <cellStyle name="#,##0" xfId="4"/>
    <cellStyle name="." xfId="5"/>
    <cellStyle name="._Book1" xfId="6"/>
    <cellStyle name="._VBPL kiểm toán Đầu tư XDCB 2010" xfId="7"/>
    <cellStyle name=".d©y" xfId="8"/>
    <cellStyle name="??" xfId="9"/>
    <cellStyle name="?? [ - ??1" xfId="10"/>
    <cellStyle name="?? [ - ??2" xfId="11"/>
    <cellStyle name="?? [ - ??3" xfId="12"/>
    <cellStyle name="?? [ - ??4" xfId="13"/>
    <cellStyle name="?? [ - ??5" xfId="14"/>
    <cellStyle name="?? [ - ??6" xfId="15"/>
    <cellStyle name="?? [ - ??7" xfId="16"/>
    <cellStyle name="?? [ - ??8" xfId="17"/>
    <cellStyle name="?? [0.00]_        " xfId="18"/>
    <cellStyle name="?? [0]" xfId="19"/>
    <cellStyle name="?_x001d_??%U©÷u&amp;H©÷9_x0008_? s_x000a__x0007__x0001__x0001_" xfId="20"/>
    <cellStyle name="???? [0.00]_      " xfId="21"/>
    <cellStyle name="??????" xfId="22"/>
    <cellStyle name="??????????????????? [0]_FTC_OFFER" xfId="23"/>
    <cellStyle name="???????????????????_FTC_OFFER" xfId="24"/>
    <cellStyle name="????_      " xfId="25"/>
    <cellStyle name="???[0]_?? DI" xfId="26"/>
    <cellStyle name="???_?? DI" xfId="27"/>
    <cellStyle name="??[0]_BRE" xfId="28"/>
    <cellStyle name="??_      " xfId="29"/>
    <cellStyle name="??A? [0]_laroux_1_¢¬???¢â? " xfId="30"/>
    <cellStyle name="??A?_laroux_1_¢¬???¢â? " xfId="31"/>
    <cellStyle name="?¡±¢¥?_?¨ù??¢´¢¥_¢¬???¢â? " xfId="32"/>
    <cellStyle name="?ðÇ%U?&amp;H?_x0008_?s_x000a__x0007__x0001__x0001_" xfId="33"/>
    <cellStyle name="[0]_Chi phÝ kh¸c_V" xfId="34"/>
    <cellStyle name="_1 TONG HOP - CA NA" xfId="35"/>
    <cellStyle name="_130307 So sanh thuc hien 2012 - du toan 2012 moi (pan khac)" xfId="36"/>
    <cellStyle name="_130313 Mau  bieu bao cao nguon luc cua dia phuong sua" xfId="37"/>
    <cellStyle name="_130818 Tong hop Danh gia thu 2013" xfId="38"/>
    <cellStyle name="_130818 Tong hop Danh gia thu 2013_140921 bu giam thu ND 209" xfId="39"/>
    <cellStyle name="_130818 Tong hop Danh gia thu 2013_140921 bu giam thu ND 209_Phu luc so 5 - sua ngay 04-01" xfId="40"/>
    <cellStyle name="_Bang Chi tieu (2)" xfId="41"/>
    <cellStyle name="_Bang Chi tieu (2) 2" xfId="42"/>
    <cellStyle name="_BAO GIA NGAY 24-10-08 (co dam)" xfId="43"/>
    <cellStyle name="_Bao gia TB Kon Dao 2010" xfId="44"/>
    <cellStyle name="_Biểu KH 5 năm gửi UB sửa biểu VHXH" xfId="47"/>
    <cellStyle name="_Bieu tong hop nhu cau ung_Mien Trung" xfId="45"/>
    <cellStyle name="_Bieu ung von 2011 NSNN - TPCP vung DBSClong (10-6-2010)" xfId="46"/>
    <cellStyle name="_Book1" xfId="48"/>
    <cellStyle name="_Book1_1" xfId="49"/>
    <cellStyle name="_Book1_2" xfId="50"/>
    <cellStyle name="_Book1_3" xfId="51"/>
    <cellStyle name="_Book1_BC-QT-WB-dthao" xfId="52"/>
    <cellStyle name="_Book1_Book1" xfId="53"/>
    <cellStyle name="_Book1_DT truong thinh phu" xfId="54"/>
    <cellStyle name="_Book1_Kh ql62 (2010) 11-09" xfId="56"/>
    <cellStyle name="_Book1_khoiluongbdacdoa" xfId="57"/>
    <cellStyle name="_Book1_Kiem Tra Don Gia" xfId="55"/>
    <cellStyle name="_Book1_TH KHAI TOAN THU THIEM cac tuyen TT noi" xfId="58"/>
    <cellStyle name="_C.cong+B.luong-Sanluong" xfId="59"/>
    <cellStyle name="_DG 2012-DT2013 - Theo sac thue -sua" xfId="60"/>
    <cellStyle name="_DG 2012-DT2013 - Theo sac thue -sua_120907 Thu tang them 4500" xfId="61"/>
    <cellStyle name="_DG 2012-DT2013 - Theo sac thue -sua_27-8Tong hop PA uoc 2012-DT 2013 -PA 420.000 ty-490.000 ty chuyen doi" xfId="62"/>
    <cellStyle name="_DO-D1500-KHONG CO TRONG DT" xfId="63"/>
    <cellStyle name="_DT truong thinh phu" xfId="64"/>
    <cellStyle name="_DTDT BL-DL" xfId="65"/>
    <cellStyle name="_du toan lan 3" xfId="66"/>
    <cellStyle name="_Duyet TK thay đôi" xfId="67"/>
    <cellStyle name="_GOITHAUSO2" xfId="68"/>
    <cellStyle name="_GOITHAUSO3" xfId="69"/>
    <cellStyle name="_GOITHAUSO4" xfId="70"/>
    <cellStyle name="_GTXD GOI 2" xfId="71"/>
    <cellStyle name="_GTXD GOI1" xfId="72"/>
    <cellStyle name="_GTXD GOI3" xfId="73"/>
    <cellStyle name="_HaHoa_TDT_DienCSang" xfId="74"/>
    <cellStyle name="_HaHoa_TDT_DienCSang 2" xfId="75"/>
    <cellStyle name="_HaHoa19-5-07" xfId="76"/>
    <cellStyle name="_HaHoa19-5-07 2" xfId="77"/>
    <cellStyle name="_Huong CHI tieu Nhiem vu CTMTQG 2014(1)" xfId="78"/>
    <cellStyle name="_Kh ql62 (2010) 11-09" xfId="497"/>
    <cellStyle name="_KH.DTC.gd2016-2020 tinh (T2-2015)" xfId="498"/>
    <cellStyle name="_khoiluongbdacdoa" xfId="499"/>
    <cellStyle name="_Kiem Tra Don Gia" xfId="79"/>
    <cellStyle name="_KT (2)" xfId="80"/>
    <cellStyle name="_KT (2)_1" xfId="81"/>
    <cellStyle name="_KT (2)_1_Book1" xfId="82"/>
    <cellStyle name="_KT (2)_1_Lora-tungchau" xfId="83"/>
    <cellStyle name="_KT (2)_1_Qt-HT3PQ1(CauKho)" xfId="84"/>
    <cellStyle name="_KT (2)_1_Qt-HT3PQ1(CauKho)_Book1" xfId="85"/>
    <cellStyle name="_KT (2)_1_Qt-HT3PQ1(CauKho)_Don gia quy 3 nam 2003 - Ban Dien Luc" xfId="86"/>
    <cellStyle name="_KT (2)_1_Qt-HT3PQ1(CauKho)_Kiem Tra Don Gia" xfId="87"/>
    <cellStyle name="_KT (2)_1_Qt-HT3PQ1(CauKho)_Kiem Tra Don Gia 2" xfId="88"/>
    <cellStyle name="_KT (2)_1_Qt-HT3PQ1(CauKho)_NC-VL2-2003" xfId="89"/>
    <cellStyle name="_KT (2)_1_Qt-HT3PQ1(CauKho)_NC-VL2-2003_1" xfId="90"/>
    <cellStyle name="_KT (2)_1_Qt-HT3PQ1(CauKho)_XL4Test5" xfId="91"/>
    <cellStyle name="_KT (2)_1_quy luong con lai nam 2004" xfId="92"/>
    <cellStyle name="_KT (2)_1_" xfId="93"/>
    <cellStyle name="_KT (2)_2" xfId="94"/>
    <cellStyle name="_KT (2)_2_Book1" xfId="95"/>
    <cellStyle name="_KT (2)_2_DTDuong dong tien -sua tham tra 2009 - luong 650" xfId="96"/>
    <cellStyle name="_KT (2)_2_quy luong con lai nam 2004" xfId="97"/>
    <cellStyle name="_KT (2)_2_TG-TH" xfId="98"/>
    <cellStyle name="_KT (2)_2_TG-TH_BANG TONG HOP TINH HINH THANH QUYET TOAN (MOI I)" xfId="99"/>
    <cellStyle name="_KT (2)_2_TG-TH_BAO CAO KLCT PT2000" xfId="100"/>
    <cellStyle name="_KT (2)_2_TG-TH_BAO CAO PT2000" xfId="101"/>
    <cellStyle name="_KT (2)_2_TG-TH_BAO CAO PT2000_Book1" xfId="102"/>
    <cellStyle name="_KT (2)_2_TG-TH_Bao cao XDCB 2001 - T11 KH dieu chinh 20-11-THAI" xfId="103"/>
    <cellStyle name="_KT (2)_2_TG-TH_BAO GIA NGAY 24-10-08 (co dam)" xfId="104"/>
    <cellStyle name="_KT (2)_2_TG-TH_Biểu KH 5 năm gửi UB sửa biểu VHXH" xfId="105"/>
    <cellStyle name="_KT (2)_2_TG-TH_Book1" xfId="106"/>
    <cellStyle name="_KT (2)_2_TG-TH_Book1_1" xfId="107"/>
    <cellStyle name="_KT (2)_2_TG-TH_Book1_1_Book1" xfId="108"/>
    <cellStyle name="_KT (2)_2_TG-TH_Book1_1_DanhMucDonGiaVTTB_Dien_TAM" xfId="109"/>
    <cellStyle name="_KT (2)_2_TG-TH_Book1_1_khoiluongbdacdoa" xfId="110"/>
    <cellStyle name="_KT (2)_2_TG-TH_Book1_2" xfId="111"/>
    <cellStyle name="_KT (2)_2_TG-TH_Book1_2_Book1" xfId="112"/>
    <cellStyle name="_KT (2)_2_TG-TH_Book1_3" xfId="113"/>
    <cellStyle name="_KT (2)_2_TG-TH_Book1_3_Book1" xfId="114"/>
    <cellStyle name="_KT (2)_2_TG-TH_Book1_3_DT truong thinh phu" xfId="115"/>
    <cellStyle name="_KT (2)_2_TG-TH_Book1_3_XL4Test5" xfId="116"/>
    <cellStyle name="_KT (2)_2_TG-TH_Book1_4" xfId="117"/>
    <cellStyle name="_KT (2)_2_TG-TH_Book1_Book1" xfId="118"/>
    <cellStyle name="_KT (2)_2_TG-TH_Book1_DanhMucDonGiaVTTB_Dien_TAM" xfId="119"/>
    <cellStyle name="_KT (2)_2_TG-TH_Book1_khoiluongbdacdoa" xfId="121"/>
    <cellStyle name="_KT (2)_2_TG-TH_Book1_Kiem Tra Don Gia" xfId="120"/>
    <cellStyle name="_KT (2)_2_TG-TH_Book1_Tong hop 3 tinh (11_5)-TTH-QN-QT" xfId="122"/>
    <cellStyle name="_KT (2)_2_TG-TH_Book1_" xfId="123"/>
    <cellStyle name="_KT (2)_2_TG-TH_CAU Khanh Nam(Thi Cong)" xfId="124"/>
    <cellStyle name="_KT (2)_2_TG-TH_DAU NOI PL-CL TAI PHU LAMHC" xfId="125"/>
    <cellStyle name="_KT (2)_2_TG-TH_Dcdtoan-bcnckt " xfId="126"/>
    <cellStyle name="_KT (2)_2_TG-TH_DN_MTP" xfId="127"/>
    <cellStyle name="_KT (2)_2_TG-TH_Dongia2-2003" xfId="128"/>
    <cellStyle name="_KT (2)_2_TG-TH_Dongia2-2003_DT truong thinh phu" xfId="129"/>
    <cellStyle name="_KT (2)_2_TG-TH_DT truong thinh phu" xfId="130"/>
    <cellStyle name="_KT (2)_2_TG-TH_DTCDT MR.2N110.HOCMON.TDTOAN.CCUNG" xfId="131"/>
    <cellStyle name="_KT (2)_2_TG-TH_DTDuong dong tien -sua tham tra 2009 - luong 650" xfId="132"/>
    <cellStyle name="_KT (2)_2_TG-TH_DU TRU VAT TU" xfId="133"/>
    <cellStyle name="_KT (2)_2_TG-TH_khoiluongbdacdoa" xfId="135"/>
    <cellStyle name="_KT (2)_2_TG-TH_Kiem Tra Don Gia" xfId="134"/>
    <cellStyle name="_KT (2)_2_TG-TH_Lora-tungchau" xfId="136"/>
    <cellStyle name="_KT (2)_2_TG-TH_moi" xfId="137"/>
    <cellStyle name="_KT (2)_2_TG-TH_PGIA-phieu tham tra Kho bac" xfId="138"/>
    <cellStyle name="_KT (2)_2_TG-TH_PT02-02" xfId="139"/>
    <cellStyle name="_KT (2)_2_TG-TH_PT02-02_Book1" xfId="140"/>
    <cellStyle name="_KT (2)_2_TG-TH_PT02-03" xfId="141"/>
    <cellStyle name="_KT (2)_2_TG-TH_PT02-03_Book1" xfId="142"/>
    <cellStyle name="_KT (2)_2_TG-TH_Qt-HT3PQ1(CauKho)" xfId="143"/>
    <cellStyle name="_KT (2)_2_TG-TH_Qt-HT3PQ1(CauKho)_Book1" xfId="144"/>
    <cellStyle name="_KT (2)_2_TG-TH_Qt-HT3PQ1(CauKho)_Don gia quy 3 nam 2003 - Ban Dien Luc" xfId="145"/>
    <cellStyle name="_KT (2)_2_TG-TH_Qt-HT3PQ1(CauKho)_Kiem Tra Don Gia" xfId="146"/>
    <cellStyle name="_KT (2)_2_TG-TH_Qt-HT3PQ1(CauKho)_Kiem Tra Don Gia 2" xfId="147"/>
    <cellStyle name="_KT (2)_2_TG-TH_Qt-HT3PQ1(CauKho)_NC-VL2-2003" xfId="148"/>
    <cellStyle name="_KT (2)_2_TG-TH_Qt-HT3PQ1(CauKho)_NC-VL2-2003_1" xfId="149"/>
    <cellStyle name="_KT (2)_2_TG-TH_Qt-HT3PQ1(CauKho)_XL4Test5" xfId="150"/>
    <cellStyle name="_KT (2)_2_TG-TH_QT-LCTP-AE" xfId="151"/>
    <cellStyle name="_KT (2)_2_TG-TH_quy luong con lai nam 2004" xfId="152"/>
    <cellStyle name="_KT (2)_2_TG-TH_Sheet2" xfId="153"/>
    <cellStyle name="_KT (2)_2_TG-TH_TEL OUT 2004" xfId="154"/>
    <cellStyle name="_KT (2)_2_TG-TH_Tong hop 3 tinh (11_5)-TTH-QN-QT" xfId="155"/>
    <cellStyle name="_KT (2)_2_TG-TH_XL4Poppy" xfId="156"/>
    <cellStyle name="_KT (2)_2_TG-TH_XL4Test5" xfId="157"/>
    <cellStyle name="_KT (2)_2_TG-TH_ÿÿÿÿÿ" xfId="158"/>
    <cellStyle name="_KT (2)_2_TG-TH_" xfId="159"/>
    <cellStyle name="_KT (2)_3" xfId="160"/>
    <cellStyle name="_KT (2)_3_TG-TH" xfId="161"/>
    <cellStyle name="_KT (2)_3_TG-TH_Book1" xfId="162"/>
    <cellStyle name="_KT (2)_3_TG-TH_Book1_1" xfId="163"/>
    <cellStyle name="_KT (2)_3_TG-TH_Book1_BC-QT-WB-dthao" xfId="164"/>
    <cellStyle name="_KT (2)_3_TG-TH_Book1_Book1" xfId="165"/>
    <cellStyle name="_KT (2)_3_TG-TH_Book1_Kiem Tra Don Gia" xfId="166"/>
    <cellStyle name="_KT (2)_3_TG-TH_khoiluongbdacdoa" xfId="168"/>
    <cellStyle name="_KT (2)_3_TG-TH_Kiem Tra Don Gia" xfId="167"/>
    <cellStyle name="_KT (2)_3_TG-TH_Lora-tungchau" xfId="169"/>
    <cellStyle name="_KT (2)_3_TG-TH_Lora-tungchau_Book1" xfId="170"/>
    <cellStyle name="_KT (2)_3_TG-TH_Lora-tungchau_Kiem Tra Don Gia" xfId="171"/>
    <cellStyle name="_KT (2)_3_TG-TH_PERSONAL" xfId="172"/>
    <cellStyle name="_KT (2)_3_TG-TH_PERSONAL_Book1" xfId="173"/>
    <cellStyle name="_KT (2)_3_TG-TH_PERSONAL_HTQ.8 GD1" xfId="174"/>
    <cellStyle name="_KT (2)_3_TG-TH_PERSONAL_HTQ.8 GD1_Book1" xfId="175"/>
    <cellStyle name="_KT (2)_3_TG-TH_PERSONAL_HTQ.8 GD1_Don gia quy 3 nam 2003 - Ban Dien Luc" xfId="176"/>
    <cellStyle name="_KT (2)_3_TG-TH_PERSONAL_HTQ.8 GD1_NC-VL2-2003" xfId="177"/>
    <cellStyle name="_KT (2)_3_TG-TH_PERSONAL_HTQ.8 GD1_NC-VL2-2003_1" xfId="178"/>
    <cellStyle name="_KT (2)_3_TG-TH_PERSONAL_HTQ.8 GD1_XL4Test5" xfId="179"/>
    <cellStyle name="_KT (2)_3_TG-TH_PERSONAL_khoiluongbdacdoa" xfId="180"/>
    <cellStyle name="_KT (2)_3_TG-TH_PERSONAL_Tong hop KHCB 2001" xfId="181"/>
    <cellStyle name="_KT (2)_3_TG-TH_PERSONAL_" xfId="182"/>
    <cellStyle name="_KT (2)_3_TG-TH_Qt-HT3PQ1(CauKho)" xfId="183"/>
    <cellStyle name="_KT (2)_3_TG-TH_Qt-HT3PQ1(CauKho)_Book1" xfId="184"/>
    <cellStyle name="_KT (2)_3_TG-TH_Qt-HT3PQ1(CauKho)_Don gia quy 3 nam 2003 - Ban Dien Luc" xfId="185"/>
    <cellStyle name="_KT (2)_3_TG-TH_Qt-HT3PQ1(CauKho)_Kiem Tra Don Gia" xfId="186"/>
    <cellStyle name="_KT (2)_3_TG-TH_Qt-HT3PQ1(CauKho)_Kiem Tra Don Gia 2" xfId="187"/>
    <cellStyle name="_KT (2)_3_TG-TH_Qt-HT3PQ1(CauKho)_NC-VL2-2003" xfId="188"/>
    <cellStyle name="_KT (2)_3_TG-TH_Qt-HT3PQ1(CauKho)_NC-VL2-2003_1" xfId="189"/>
    <cellStyle name="_KT (2)_3_TG-TH_Qt-HT3PQ1(CauKho)_XL4Test5" xfId="190"/>
    <cellStyle name="_KT (2)_3_TG-TH_QT-LCTP-AE" xfId="191"/>
    <cellStyle name="_KT (2)_3_TG-TH_quy luong con lai nam 2004" xfId="192"/>
    <cellStyle name="_KT (2)_3_TG-TH_" xfId="193"/>
    <cellStyle name="_KT (2)_4" xfId="194"/>
    <cellStyle name="_KT (2)_4_BANG TONG HOP TINH HINH THANH QUYET TOAN (MOI I)" xfId="195"/>
    <cellStyle name="_KT (2)_4_BAO CAO KLCT PT2000" xfId="196"/>
    <cellStyle name="_KT (2)_4_BAO CAO PT2000" xfId="197"/>
    <cellStyle name="_KT (2)_4_BAO CAO PT2000_Book1" xfId="198"/>
    <cellStyle name="_KT (2)_4_Bao cao XDCB 2001 - T11 KH dieu chinh 20-11-THAI" xfId="199"/>
    <cellStyle name="_KT (2)_4_BAO GIA NGAY 24-10-08 (co dam)" xfId="200"/>
    <cellStyle name="_KT (2)_4_Biểu KH 5 năm gửi UB sửa biểu VHXH" xfId="201"/>
    <cellStyle name="_KT (2)_4_Book1" xfId="202"/>
    <cellStyle name="_KT (2)_4_Book1_1" xfId="203"/>
    <cellStyle name="_KT (2)_4_Book1_1_Book1" xfId="204"/>
    <cellStyle name="_KT (2)_4_Book1_1_DanhMucDonGiaVTTB_Dien_TAM" xfId="205"/>
    <cellStyle name="_KT (2)_4_Book1_1_khoiluongbdacdoa" xfId="206"/>
    <cellStyle name="_KT (2)_4_Book1_2" xfId="207"/>
    <cellStyle name="_KT (2)_4_Book1_2_Book1" xfId="208"/>
    <cellStyle name="_KT (2)_4_Book1_3" xfId="209"/>
    <cellStyle name="_KT (2)_4_Book1_3_Book1" xfId="210"/>
    <cellStyle name="_KT (2)_4_Book1_3_DT truong thinh phu" xfId="211"/>
    <cellStyle name="_KT (2)_4_Book1_3_XL4Test5" xfId="212"/>
    <cellStyle name="_KT (2)_4_Book1_4" xfId="213"/>
    <cellStyle name="_KT (2)_4_Book1_Book1" xfId="214"/>
    <cellStyle name="_KT (2)_4_Book1_DanhMucDonGiaVTTB_Dien_TAM" xfId="215"/>
    <cellStyle name="_KT (2)_4_Book1_khoiluongbdacdoa" xfId="217"/>
    <cellStyle name="_KT (2)_4_Book1_Kiem Tra Don Gia" xfId="216"/>
    <cellStyle name="_KT (2)_4_Book1_Tong hop 3 tinh (11_5)-TTH-QN-QT" xfId="218"/>
    <cellStyle name="_KT (2)_4_Book1_" xfId="219"/>
    <cellStyle name="_KT (2)_4_CAU Khanh Nam(Thi Cong)" xfId="220"/>
    <cellStyle name="_KT (2)_4_DAU NOI PL-CL TAI PHU LAMHC" xfId="221"/>
    <cellStyle name="_KT (2)_4_Dcdtoan-bcnckt " xfId="222"/>
    <cellStyle name="_KT (2)_4_DN_MTP" xfId="223"/>
    <cellStyle name="_KT (2)_4_Dongia2-2003" xfId="224"/>
    <cellStyle name="_KT (2)_4_Dongia2-2003_DT truong thinh phu" xfId="225"/>
    <cellStyle name="_KT (2)_4_DT truong thinh phu" xfId="226"/>
    <cellStyle name="_KT (2)_4_DTCDT MR.2N110.HOCMON.TDTOAN.CCUNG" xfId="227"/>
    <cellStyle name="_KT (2)_4_DTDuong dong tien -sua tham tra 2009 - luong 650" xfId="228"/>
    <cellStyle name="_KT (2)_4_DU TRU VAT TU" xfId="229"/>
    <cellStyle name="_KT (2)_4_khoiluongbdacdoa" xfId="231"/>
    <cellStyle name="_KT (2)_4_Kiem Tra Don Gia" xfId="230"/>
    <cellStyle name="_KT (2)_4_Lora-tungchau" xfId="232"/>
    <cellStyle name="_KT (2)_4_moi" xfId="233"/>
    <cellStyle name="_KT (2)_4_PGIA-phieu tham tra Kho bac" xfId="234"/>
    <cellStyle name="_KT (2)_4_PT02-02" xfId="235"/>
    <cellStyle name="_KT (2)_4_PT02-02_Book1" xfId="236"/>
    <cellStyle name="_KT (2)_4_PT02-03" xfId="237"/>
    <cellStyle name="_KT (2)_4_PT02-03_Book1" xfId="238"/>
    <cellStyle name="_KT (2)_4_Qt-HT3PQ1(CauKho)" xfId="239"/>
    <cellStyle name="_KT (2)_4_Qt-HT3PQ1(CauKho)_Book1" xfId="240"/>
    <cellStyle name="_KT (2)_4_Qt-HT3PQ1(CauKho)_Don gia quy 3 nam 2003 - Ban Dien Luc" xfId="241"/>
    <cellStyle name="_KT (2)_4_Qt-HT3PQ1(CauKho)_Kiem Tra Don Gia" xfId="242"/>
    <cellStyle name="_KT (2)_4_Qt-HT3PQ1(CauKho)_Kiem Tra Don Gia 2" xfId="243"/>
    <cellStyle name="_KT (2)_4_Qt-HT3PQ1(CauKho)_NC-VL2-2003" xfId="244"/>
    <cellStyle name="_KT (2)_4_Qt-HT3PQ1(CauKho)_NC-VL2-2003_1" xfId="245"/>
    <cellStyle name="_KT (2)_4_Qt-HT3PQ1(CauKho)_XL4Test5" xfId="246"/>
    <cellStyle name="_KT (2)_4_QT-LCTP-AE" xfId="247"/>
    <cellStyle name="_KT (2)_4_quy luong con lai nam 2004" xfId="248"/>
    <cellStyle name="_KT (2)_4_Sheet2" xfId="249"/>
    <cellStyle name="_KT (2)_4_TEL OUT 2004" xfId="250"/>
    <cellStyle name="_KT (2)_4_TG-TH" xfId="251"/>
    <cellStyle name="_KT (2)_4_TG-TH_Book1" xfId="252"/>
    <cellStyle name="_KT (2)_4_TG-TH_DTDuong dong tien -sua tham tra 2009 - luong 650" xfId="253"/>
    <cellStyle name="_KT (2)_4_TG-TH_quy luong con lai nam 2004" xfId="254"/>
    <cellStyle name="_KT (2)_4_Tong hop 3 tinh (11_5)-TTH-QN-QT" xfId="255"/>
    <cellStyle name="_KT (2)_4_XL4Poppy" xfId="256"/>
    <cellStyle name="_KT (2)_4_XL4Test5" xfId="257"/>
    <cellStyle name="_KT (2)_4_ÿÿÿÿÿ" xfId="258"/>
    <cellStyle name="_KT (2)_4_" xfId="259"/>
    <cellStyle name="_KT (2)_5" xfId="260"/>
    <cellStyle name="_KT (2)_5_BANG TONG HOP TINH HINH THANH QUYET TOAN (MOI I)" xfId="261"/>
    <cellStyle name="_KT (2)_5_BAO CAO KLCT PT2000" xfId="262"/>
    <cellStyle name="_KT (2)_5_BAO CAO PT2000" xfId="263"/>
    <cellStyle name="_KT (2)_5_BAO CAO PT2000_Book1" xfId="264"/>
    <cellStyle name="_KT (2)_5_Bao cao XDCB 2001 - T11 KH dieu chinh 20-11-THAI" xfId="265"/>
    <cellStyle name="_KT (2)_5_BAO GIA NGAY 24-10-08 (co dam)" xfId="266"/>
    <cellStyle name="_KT (2)_5_Biểu KH 5 năm gửi UB sửa biểu VHXH" xfId="267"/>
    <cellStyle name="_KT (2)_5_Book1" xfId="268"/>
    <cellStyle name="_KT (2)_5_Book1_1" xfId="269"/>
    <cellStyle name="_KT (2)_5_Book1_1_Book1" xfId="270"/>
    <cellStyle name="_KT (2)_5_Book1_1_DanhMucDonGiaVTTB_Dien_TAM" xfId="271"/>
    <cellStyle name="_KT (2)_5_Book1_1_khoiluongbdacdoa" xfId="272"/>
    <cellStyle name="_KT (2)_5_Book1_2" xfId="273"/>
    <cellStyle name="_KT (2)_5_Book1_2_Book1" xfId="274"/>
    <cellStyle name="_KT (2)_5_Book1_3" xfId="275"/>
    <cellStyle name="_KT (2)_5_Book1_3_Book1" xfId="276"/>
    <cellStyle name="_KT (2)_5_Book1_3_DT truong thinh phu" xfId="277"/>
    <cellStyle name="_KT (2)_5_Book1_3_XL4Test5" xfId="278"/>
    <cellStyle name="_KT (2)_5_Book1_4" xfId="279"/>
    <cellStyle name="_KT (2)_5_Book1_BC-QT-WB-dthao" xfId="280"/>
    <cellStyle name="_KT (2)_5_Book1_Book1" xfId="281"/>
    <cellStyle name="_KT (2)_5_Book1_DanhMucDonGiaVTTB_Dien_TAM" xfId="282"/>
    <cellStyle name="_KT (2)_5_Book1_khoiluongbdacdoa" xfId="284"/>
    <cellStyle name="_KT (2)_5_Book1_Kiem Tra Don Gia" xfId="283"/>
    <cellStyle name="_KT (2)_5_Book1_Tong hop 3 tinh (11_5)-TTH-QN-QT" xfId="285"/>
    <cellStyle name="_KT (2)_5_Book1_" xfId="286"/>
    <cellStyle name="_KT (2)_5_CAU Khanh Nam(Thi Cong)" xfId="287"/>
    <cellStyle name="_KT (2)_5_DAU NOI PL-CL TAI PHU LAMHC" xfId="288"/>
    <cellStyle name="_KT (2)_5_Dcdtoan-bcnckt " xfId="289"/>
    <cellStyle name="_KT (2)_5_DN_MTP" xfId="290"/>
    <cellStyle name="_KT (2)_5_Dongia2-2003" xfId="291"/>
    <cellStyle name="_KT (2)_5_Dongia2-2003_DT truong thinh phu" xfId="292"/>
    <cellStyle name="_KT (2)_5_DT truong thinh phu" xfId="293"/>
    <cellStyle name="_KT (2)_5_DTCDT MR.2N110.HOCMON.TDTOAN.CCUNG" xfId="294"/>
    <cellStyle name="_KT (2)_5_DTDuong dong tien -sua tham tra 2009 - luong 650" xfId="295"/>
    <cellStyle name="_KT (2)_5_DU TRU VAT TU" xfId="296"/>
    <cellStyle name="_KT (2)_5_khoiluongbdacdoa" xfId="298"/>
    <cellStyle name="_KT (2)_5_Kiem Tra Don Gia" xfId="297"/>
    <cellStyle name="_KT (2)_5_Lora-tungchau" xfId="299"/>
    <cellStyle name="_KT (2)_5_moi" xfId="300"/>
    <cellStyle name="_KT (2)_5_PGIA-phieu tham tra Kho bac" xfId="301"/>
    <cellStyle name="_KT (2)_5_PT02-02" xfId="302"/>
    <cellStyle name="_KT (2)_5_PT02-02_Book1" xfId="303"/>
    <cellStyle name="_KT (2)_5_PT02-03" xfId="304"/>
    <cellStyle name="_KT (2)_5_PT02-03_Book1" xfId="305"/>
    <cellStyle name="_KT (2)_5_Qt-HT3PQ1(CauKho)" xfId="306"/>
    <cellStyle name="_KT (2)_5_Qt-HT3PQ1(CauKho)_Book1" xfId="307"/>
    <cellStyle name="_KT (2)_5_Qt-HT3PQ1(CauKho)_Don gia quy 3 nam 2003 - Ban Dien Luc" xfId="308"/>
    <cellStyle name="_KT (2)_5_Qt-HT3PQ1(CauKho)_Kiem Tra Don Gia" xfId="309"/>
    <cellStyle name="_KT (2)_5_Qt-HT3PQ1(CauKho)_Kiem Tra Don Gia 2" xfId="310"/>
    <cellStyle name="_KT (2)_5_Qt-HT3PQ1(CauKho)_NC-VL2-2003" xfId="311"/>
    <cellStyle name="_KT (2)_5_Qt-HT3PQ1(CauKho)_NC-VL2-2003_1" xfId="312"/>
    <cellStyle name="_KT (2)_5_Qt-HT3PQ1(CauKho)_XL4Test5" xfId="313"/>
    <cellStyle name="_KT (2)_5_QT-LCTP-AE" xfId="314"/>
    <cellStyle name="_KT (2)_5_Sheet2" xfId="315"/>
    <cellStyle name="_KT (2)_5_TEL OUT 2004" xfId="316"/>
    <cellStyle name="_KT (2)_5_Tong hop 3 tinh (11_5)-TTH-QN-QT" xfId="317"/>
    <cellStyle name="_KT (2)_5_XL4Poppy" xfId="318"/>
    <cellStyle name="_KT (2)_5_XL4Test5" xfId="319"/>
    <cellStyle name="_KT (2)_5_ÿÿÿÿÿ" xfId="320"/>
    <cellStyle name="_KT (2)_5_" xfId="321"/>
    <cellStyle name="_KT (2)_Book1" xfId="322"/>
    <cellStyle name="_KT (2)_Book1_1" xfId="323"/>
    <cellStyle name="_KT (2)_Book1_BC-QT-WB-dthao" xfId="324"/>
    <cellStyle name="_KT (2)_Book1_Book1" xfId="325"/>
    <cellStyle name="_KT (2)_Book1_Kiem Tra Don Gia" xfId="326"/>
    <cellStyle name="_KT (2)_khoiluongbdacdoa" xfId="328"/>
    <cellStyle name="_KT (2)_Kiem Tra Don Gia" xfId="327"/>
    <cellStyle name="_KT (2)_Lora-tungchau" xfId="329"/>
    <cellStyle name="_KT (2)_Lora-tungchau_Book1" xfId="330"/>
    <cellStyle name="_KT (2)_Lora-tungchau_Kiem Tra Don Gia" xfId="331"/>
    <cellStyle name="_KT (2)_PERSONAL" xfId="332"/>
    <cellStyle name="_KT (2)_PERSONAL_Book1" xfId="333"/>
    <cellStyle name="_KT (2)_PERSONAL_HTQ.8 GD1" xfId="334"/>
    <cellStyle name="_KT (2)_PERSONAL_HTQ.8 GD1_Book1" xfId="335"/>
    <cellStyle name="_KT (2)_PERSONAL_HTQ.8 GD1_Don gia quy 3 nam 2003 - Ban Dien Luc" xfId="336"/>
    <cellStyle name="_KT (2)_PERSONAL_HTQ.8 GD1_NC-VL2-2003" xfId="337"/>
    <cellStyle name="_KT (2)_PERSONAL_HTQ.8 GD1_NC-VL2-2003_1" xfId="338"/>
    <cellStyle name="_KT (2)_PERSONAL_HTQ.8 GD1_XL4Test5" xfId="339"/>
    <cellStyle name="_KT (2)_PERSONAL_khoiluongbdacdoa" xfId="340"/>
    <cellStyle name="_KT (2)_PERSONAL_Tong hop KHCB 2001" xfId="341"/>
    <cellStyle name="_KT (2)_PERSONAL_" xfId="342"/>
    <cellStyle name="_KT (2)_Qt-HT3PQ1(CauKho)" xfId="343"/>
    <cellStyle name="_KT (2)_Qt-HT3PQ1(CauKho)_Book1" xfId="344"/>
    <cellStyle name="_KT (2)_Qt-HT3PQ1(CauKho)_Don gia quy 3 nam 2003 - Ban Dien Luc" xfId="345"/>
    <cellStyle name="_KT (2)_Qt-HT3PQ1(CauKho)_Kiem Tra Don Gia" xfId="346"/>
    <cellStyle name="_KT (2)_Qt-HT3PQ1(CauKho)_Kiem Tra Don Gia 2" xfId="347"/>
    <cellStyle name="_KT (2)_Qt-HT3PQ1(CauKho)_NC-VL2-2003" xfId="348"/>
    <cellStyle name="_KT (2)_Qt-HT3PQ1(CauKho)_NC-VL2-2003_1" xfId="349"/>
    <cellStyle name="_KT (2)_Qt-HT3PQ1(CauKho)_XL4Test5" xfId="350"/>
    <cellStyle name="_KT (2)_QT-LCTP-AE" xfId="351"/>
    <cellStyle name="_KT (2)_quy luong con lai nam 2004" xfId="352"/>
    <cellStyle name="_KT (2)_TG-TH" xfId="353"/>
    <cellStyle name="_KT (2)_" xfId="354"/>
    <cellStyle name="_KT_TG" xfId="355"/>
    <cellStyle name="_KT_TG_1" xfId="356"/>
    <cellStyle name="_KT_TG_1_BANG TONG HOP TINH HINH THANH QUYET TOAN (MOI I)" xfId="357"/>
    <cellStyle name="_KT_TG_1_BAO CAO KLCT PT2000" xfId="358"/>
    <cellStyle name="_KT_TG_1_BAO CAO PT2000" xfId="359"/>
    <cellStyle name="_KT_TG_1_BAO CAO PT2000_Book1" xfId="360"/>
    <cellStyle name="_KT_TG_1_Bao cao XDCB 2001 - T11 KH dieu chinh 20-11-THAI" xfId="361"/>
    <cellStyle name="_KT_TG_1_BAO GIA NGAY 24-10-08 (co dam)" xfId="362"/>
    <cellStyle name="_KT_TG_1_Biểu KH 5 năm gửi UB sửa biểu VHXH" xfId="363"/>
    <cellStyle name="_KT_TG_1_Book1" xfId="364"/>
    <cellStyle name="_KT_TG_1_Book1_1" xfId="365"/>
    <cellStyle name="_KT_TG_1_Book1_1_Book1" xfId="366"/>
    <cellStyle name="_KT_TG_1_Book1_1_DanhMucDonGiaVTTB_Dien_TAM" xfId="367"/>
    <cellStyle name="_KT_TG_1_Book1_1_khoiluongbdacdoa" xfId="368"/>
    <cellStyle name="_KT_TG_1_Book1_2" xfId="369"/>
    <cellStyle name="_KT_TG_1_Book1_2_Book1" xfId="370"/>
    <cellStyle name="_KT_TG_1_Book1_3" xfId="371"/>
    <cellStyle name="_KT_TG_1_Book1_3_Book1" xfId="372"/>
    <cellStyle name="_KT_TG_1_Book1_3_DT truong thinh phu" xfId="373"/>
    <cellStyle name="_KT_TG_1_Book1_3_XL4Test5" xfId="374"/>
    <cellStyle name="_KT_TG_1_Book1_4" xfId="375"/>
    <cellStyle name="_KT_TG_1_Book1_BC-QT-WB-dthao" xfId="376"/>
    <cellStyle name="_KT_TG_1_Book1_Book1" xfId="377"/>
    <cellStyle name="_KT_TG_1_Book1_DanhMucDonGiaVTTB_Dien_TAM" xfId="378"/>
    <cellStyle name="_KT_TG_1_Book1_khoiluongbdacdoa" xfId="380"/>
    <cellStyle name="_KT_TG_1_Book1_Kiem Tra Don Gia" xfId="379"/>
    <cellStyle name="_KT_TG_1_Book1_Tong hop 3 tinh (11_5)-TTH-QN-QT" xfId="381"/>
    <cellStyle name="_KT_TG_1_Book1_" xfId="382"/>
    <cellStyle name="_KT_TG_1_CAU Khanh Nam(Thi Cong)" xfId="383"/>
    <cellStyle name="_KT_TG_1_DAU NOI PL-CL TAI PHU LAMHC" xfId="384"/>
    <cellStyle name="_KT_TG_1_Dcdtoan-bcnckt " xfId="385"/>
    <cellStyle name="_KT_TG_1_DN_MTP" xfId="386"/>
    <cellStyle name="_KT_TG_1_Dongia2-2003" xfId="387"/>
    <cellStyle name="_KT_TG_1_Dongia2-2003_DT truong thinh phu" xfId="388"/>
    <cellStyle name="_KT_TG_1_DT truong thinh phu" xfId="389"/>
    <cellStyle name="_KT_TG_1_DTCDT MR.2N110.HOCMON.TDTOAN.CCUNG" xfId="390"/>
    <cellStyle name="_KT_TG_1_DTDuong dong tien -sua tham tra 2009 - luong 650" xfId="391"/>
    <cellStyle name="_KT_TG_1_DU TRU VAT TU" xfId="392"/>
    <cellStyle name="_KT_TG_1_khoiluongbdacdoa" xfId="394"/>
    <cellStyle name="_KT_TG_1_Kiem Tra Don Gia" xfId="393"/>
    <cellStyle name="_KT_TG_1_Lora-tungchau" xfId="395"/>
    <cellStyle name="_KT_TG_1_moi" xfId="396"/>
    <cellStyle name="_KT_TG_1_PGIA-phieu tham tra Kho bac" xfId="397"/>
    <cellStyle name="_KT_TG_1_PT02-02" xfId="398"/>
    <cellStyle name="_KT_TG_1_PT02-02_Book1" xfId="399"/>
    <cellStyle name="_KT_TG_1_PT02-03" xfId="400"/>
    <cellStyle name="_KT_TG_1_PT02-03_Book1" xfId="401"/>
    <cellStyle name="_KT_TG_1_Qt-HT3PQ1(CauKho)" xfId="402"/>
    <cellStyle name="_KT_TG_1_Qt-HT3PQ1(CauKho)_Book1" xfId="403"/>
    <cellStyle name="_KT_TG_1_Qt-HT3PQ1(CauKho)_Don gia quy 3 nam 2003 - Ban Dien Luc" xfId="404"/>
    <cellStyle name="_KT_TG_1_Qt-HT3PQ1(CauKho)_Kiem Tra Don Gia" xfId="405"/>
    <cellStyle name="_KT_TG_1_Qt-HT3PQ1(CauKho)_Kiem Tra Don Gia 2" xfId="406"/>
    <cellStyle name="_KT_TG_1_Qt-HT3PQ1(CauKho)_NC-VL2-2003" xfId="407"/>
    <cellStyle name="_KT_TG_1_Qt-HT3PQ1(CauKho)_NC-VL2-2003_1" xfId="408"/>
    <cellStyle name="_KT_TG_1_Qt-HT3PQ1(CauKho)_XL4Test5" xfId="409"/>
    <cellStyle name="_KT_TG_1_QT-LCTP-AE" xfId="410"/>
    <cellStyle name="_KT_TG_1_Sheet2" xfId="411"/>
    <cellStyle name="_KT_TG_1_TEL OUT 2004" xfId="412"/>
    <cellStyle name="_KT_TG_1_Tong hop 3 tinh (11_5)-TTH-QN-QT" xfId="413"/>
    <cellStyle name="_KT_TG_1_XL4Poppy" xfId="414"/>
    <cellStyle name="_KT_TG_1_XL4Test5" xfId="415"/>
    <cellStyle name="_KT_TG_1_ÿÿÿÿÿ" xfId="416"/>
    <cellStyle name="_KT_TG_1_" xfId="417"/>
    <cellStyle name="_KT_TG_2" xfId="418"/>
    <cellStyle name="_KT_TG_2_BANG TONG HOP TINH HINH THANH QUYET TOAN (MOI I)" xfId="419"/>
    <cellStyle name="_KT_TG_2_BAO CAO KLCT PT2000" xfId="420"/>
    <cellStyle name="_KT_TG_2_BAO CAO PT2000" xfId="421"/>
    <cellStyle name="_KT_TG_2_BAO CAO PT2000_Book1" xfId="422"/>
    <cellStyle name="_KT_TG_2_Bao cao XDCB 2001 - T11 KH dieu chinh 20-11-THAI" xfId="423"/>
    <cellStyle name="_KT_TG_2_BAO GIA NGAY 24-10-08 (co dam)" xfId="424"/>
    <cellStyle name="_KT_TG_2_Biểu KH 5 năm gửi UB sửa biểu VHXH" xfId="425"/>
    <cellStyle name="_KT_TG_2_Book1" xfId="426"/>
    <cellStyle name="_KT_TG_2_Book1_1" xfId="427"/>
    <cellStyle name="_KT_TG_2_Book1_1_Book1" xfId="428"/>
    <cellStyle name="_KT_TG_2_Book1_1_DanhMucDonGiaVTTB_Dien_TAM" xfId="429"/>
    <cellStyle name="_KT_TG_2_Book1_1_khoiluongbdacdoa" xfId="430"/>
    <cellStyle name="_KT_TG_2_Book1_2" xfId="431"/>
    <cellStyle name="_KT_TG_2_Book1_2_Book1" xfId="432"/>
    <cellStyle name="_KT_TG_2_Book1_3" xfId="433"/>
    <cellStyle name="_KT_TG_2_Book1_3_Book1" xfId="434"/>
    <cellStyle name="_KT_TG_2_Book1_3_DT truong thinh phu" xfId="435"/>
    <cellStyle name="_KT_TG_2_Book1_3_XL4Test5" xfId="436"/>
    <cellStyle name="_KT_TG_2_Book1_4" xfId="437"/>
    <cellStyle name="_KT_TG_2_Book1_Book1" xfId="438"/>
    <cellStyle name="_KT_TG_2_Book1_DanhMucDonGiaVTTB_Dien_TAM" xfId="439"/>
    <cellStyle name="_KT_TG_2_Book1_khoiluongbdacdoa" xfId="441"/>
    <cellStyle name="_KT_TG_2_Book1_Kiem Tra Don Gia" xfId="440"/>
    <cellStyle name="_KT_TG_2_Book1_Tong hop 3 tinh (11_5)-TTH-QN-QT" xfId="442"/>
    <cellStyle name="_KT_TG_2_Book1_" xfId="443"/>
    <cellStyle name="_KT_TG_2_CAU Khanh Nam(Thi Cong)" xfId="444"/>
    <cellStyle name="_KT_TG_2_DAU NOI PL-CL TAI PHU LAMHC" xfId="445"/>
    <cellStyle name="_KT_TG_2_Dcdtoan-bcnckt " xfId="446"/>
    <cellStyle name="_KT_TG_2_DN_MTP" xfId="447"/>
    <cellStyle name="_KT_TG_2_Dongia2-2003" xfId="448"/>
    <cellStyle name="_KT_TG_2_Dongia2-2003_DT truong thinh phu" xfId="449"/>
    <cellStyle name="_KT_TG_2_DT truong thinh phu" xfId="450"/>
    <cellStyle name="_KT_TG_2_DTCDT MR.2N110.HOCMON.TDTOAN.CCUNG" xfId="451"/>
    <cellStyle name="_KT_TG_2_DTDuong dong tien -sua tham tra 2009 - luong 650" xfId="452"/>
    <cellStyle name="_KT_TG_2_DU TRU VAT TU" xfId="453"/>
    <cellStyle name="_KT_TG_2_khoiluongbdacdoa" xfId="455"/>
    <cellStyle name="_KT_TG_2_Kiem Tra Don Gia" xfId="454"/>
    <cellStyle name="_KT_TG_2_Lora-tungchau" xfId="456"/>
    <cellStyle name="_KT_TG_2_moi" xfId="457"/>
    <cellStyle name="_KT_TG_2_PGIA-phieu tham tra Kho bac" xfId="458"/>
    <cellStyle name="_KT_TG_2_PT02-02" xfId="459"/>
    <cellStyle name="_KT_TG_2_PT02-02_Book1" xfId="460"/>
    <cellStyle name="_KT_TG_2_PT02-03" xfId="461"/>
    <cellStyle name="_KT_TG_2_PT02-03_Book1" xfId="462"/>
    <cellStyle name="_KT_TG_2_Qt-HT3PQ1(CauKho)" xfId="463"/>
    <cellStyle name="_KT_TG_2_Qt-HT3PQ1(CauKho)_Book1" xfId="464"/>
    <cellStyle name="_KT_TG_2_Qt-HT3PQ1(CauKho)_Don gia quy 3 nam 2003 - Ban Dien Luc" xfId="465"/>
    <cellStyle name="_KT_TG_2_Qt-HT3PQ1(CauKho)_Kiem Tra Don Gia" xfId="466"/>
    <cellStyle name="_KT_TG_2_Qt-HT3PQ1(CauKho)_Kiem Tra Don Gia 2" xfId="467"/>
    <cellStyle name="_KT_TG_2_Qt-HT3PQ1(CauKho)_NC-VL2-2003" xfId="468"/>
    <cellStyle name="_KT_TG_2_Qt-HT3PQ1(CauKho)_NC-VL2-2003_1" xfId="469"/>
    <cellStyle name="_KT_TG_2_Qt-HT3PQ1(CauKho)_XL4Test5" xfId="470"/>
    <cellStyle name="_KT_TG_2_QT-LCTP-AE" xfId="471"/>
    <cellStyle name="_KT_TG_2_quy luong con lai nam 2004" xfId="472"/>
    <cellStyle name="_KT_TG_2_Sheet2" xfId="473"/>
    <cellStyle name="_KT_TG_2_TEL OUT 2004" xfId="474"/>
    <cellStyle name="_KT_TG_2_Tong hop 3 tinh (11_5)-TTH-QN-QT" xfId="475"/>
    <cellStyle name="_KT_TG_2_XL4Poppy" xfId="476"/>
    <cellStyle name="_KT_TG_2_XL4Test5" xfId="477"/>
    <cellStyle name="_KT_TG_2_ÿÿÿÿÿ" xfId="478"/>
    <cellStyle name="_KT_TG_2_" xfId="479"/>
    <cellStyle name="_KT_TG_3" xfId="480"/>
    <cellStyle name="_KT_TG_4" xfId="481"/>
    <cellStyle name="_KT_TG_4_Book1" xfId="482"/>
    <cellStyle name="_KT_TG_4_Lora-tungchau" xfId="483"/>
    <cellStyle name="_KT_TG_4_Qt-HT3PQ1(CauKho)" xfId="484"/>
    <cellStyle name="_KT_TG_4_Qt-HT3PQ1(CauKho)_Book1" xfId="485"/>
    <cellStyle name="_KT_TG_4_Qt-HT3PQ1(CauKho)_Don gia quy 3 nam 2003 - Ban Dien Luc" xfId="486"/>
    <cellStyle name="_KT_TG_4_Qt-HT3PQ1(CauKho)_Kiem Tra Don Gia" xfId="487"/>
    <cellStyle name="_KT_TG_4_Qt-HT3PQ1(CauKho)_Kiem Tra Don Gia 2" xfId="488"/>
    <cellStyle name="_KT_TG_4_Qt-HT3PQ1(CauKho)_NC-VL2-2003" xfId="489"/>
    <cellStyle name="_KT_TG_4_Qt-HT3PQ1(CauKho)_NC-VL2-2003_1" xfId="490"/>
    <cellStyle name="_KT_TG_4_Qt-HT3PQ1(CauKho)_XL4Test5" xfId="491"/>
    <cellStyle name="_KT_TG_4_quy luong con lai nam 2004" xfId="492"/>
    <cellStyle name="_KT_TG_4_" xfId="493"/>
    <cellStyle name="_KT_TG_Book1" xfId="494"/>
    <cellStyle name="_KT_TG_DTDuong dong tien -sua tham tra 2009 - luong 650" xfId="495"/>
    <cellStyle name="_KT_TG_quy luong con lai nam 2004" xfId="496"/>
    <cellStyle name="_Lora-tungchau" xfId="500"/>
    <cellStyle name="_Lora-tungchau_Book1" xfId="501"/>
    <cellStyle name="_Lora-tungchau_Kiem Tra Don Gia" xfId="502"/>
    <cellStyle name="_MauThanTKKT-goi7-DonGia2143(vl t7)" xfId="503"/>
    <cellStyle name="_Nhu cau von ung truoc 2011 Tha h Hoa + Nge An gui TW" xfId="504"/>
    <cellStyle name="_PERSONAL" xfId="505"/>
    <cellStyle name="_PERSONAL_Book1" xfId="506"/>
    <cellStyle name="_PERSONAL_HTQ.8 GD1" xfId="507"/>
    <cellStyle name="_PERSONAL_HTQ.8 GD1_Book1" xfId="508"/>
    <cellStyle name="_PERSONAL_HTQ.8 GD1_Don gia quy 3 nam 2003 - Ban Dien Luc" xfId="509"/>
    <cellStyle name="_PERSONAL_HTQ.8 GD1_NC-VL2-2003" xfId="510"/>
    <cellStyle name="_PERSONAL_HTQ.8 GD1_NC-VL2-2003_1" xfId="511"/>
    <cellStyle name="_PERSONAL_HTQ.8 GD1_XL4Test5" xfId="512"/>
    <cellStyle name="_PERSONAL_khoiluongbdacdoa" xfId="513"/>
    <cellStyle name="_PERSONAL_Tong hop KHCB 2001" xfId="514"/>
    <cellStyle name="_PERSONAL_" xfId="515"/>
    <cellStyle name="_Phu luc kem BC gui VP Bo (18.2)" xfId="516"/>
    <cellStyle name="_Q TOAN  SCTX QL.62 QUI I ( oanh)" xfId="517"/>
    <cellStyle name="_Q TOAN  SCTX QL.62 QUI II ( oanh)" xfId="518"/>
    <cellStyle name="_QT SCTXQL62_QT1 (Cty QL)" xfId="519"/>
    <cellStyle name="_Qt-HT3PQ1(CauKho)" xfId="520"/>
    <cellStyle name="_Qt-HT3PQ1(CauKho)_Book1" xfId="521"/>
    <cellStyle name="_Qt-HT3PQ1(CauKho)_Don gia quy 3 nam 2003 - Ban Dien Luc" xfId="522"/>
    <cellStyle name="_Qt-HT3PQ1(CauKho)_Kiem Tra Don Gia" xfId="523"/>
    <cellStyle name="_Qt-HT3PQ1(CauKho)_Kiem Tra Don Gia 2" xfId="524"/>
    <cellStyle name="_Qt-HT3PQ1(CauKho)_NC-VL2-2003" xfId="525"/>
    <cellStyle name="_Qt-HT3PQ1(CauKho)_NC-VL2-2003_1" xfId="526"/>
    <cellStyle name="_Qt-HT3PQ1(CauKho)_XL4Test5" xfId="527"/>
    <cellStyle name="_QT-LCTP-AE" xfId="528"/>
    <cellStyle name="_quy luong con lai nam 2004" xfId="529"/>
    <cellStyle name="_Sheet1" xfId="530"/>
    <cellStyle name="_Sheet2" xfId="531"/>
    <cellStyle name="_TG-TH" xfId="532"/>
    <cellStyle name="_TG-TH_1" xfId="533"/>
    <cellStyle name="_TG-TH_1_BANG TONG HOP TINH HINH THANH QUYET TOAN (MOI I)" xfId="534"/>
    <cellStyle name="_TG-TH_1_BAO CAO KLCT PT2000" xfId="535"/>
    <cellStyle name="_TG-TH_1_BAO CAO PT2000" xfId="536"/>
    <cellStyle name="_TG-TH_1_BAO CAO PT2000_Book1" xfId="537"/>
    <cellStyle name="_TG-TH_1_Bao cao XDCB 2001 - T11 KH dieu chinh 20-11-THAI" xfId="538"/>
    <cellStyle name="_TG-TH_1_BAO GIA NGAY 24-10-08 (co dam)" xfId="539"/>
    <cellStyle name="_TG-TH_1_Biểu KH 5 năm gửi UB sửa biểu VHXH" xfId="540"/>
    <cellStyle name="_TG-TH_1_Book1" xfId="541"/>
    <cellStyle name="_TG-TH_1_Book1_1" xfId="542"/>
    <cellStyle name="_TG-TH_1_Book1_1_Book1" xfId="543"/>
    <cellStyle name="_TG-TH_1_Book1_1_DanhMucDonGiaVTTB_Dien_TAM" xfId="544"/>
    <cellStyle name="_TG-TH_1_Book1_1_khoiluongbdacdoa" xfId="545"/>
    <cellStyle name="_TG-TH_1_Book1_2" xfId="546"/>
    <cellStyle name="_TG-TH_1_Book1_2_Book1" xfId="547"/>
    <cellStyle name="_TG-TH_1_Book1_3" xfId="548"/>
    <cellStyle name="_TG-TH_1_Book1_3_Book1" xfId="549"/>
    <cellStyle name="_TG-TH_1_Book1_3_DT truong thinh phu" xfId="550"/>
    <cellStyle name="_TG-TH_1_Book1_3_XL4Test5" xfId="551"/>
    <cellStyle name="_TG-TH_1_Book1_4" xfId="552"/>
    <cellStyle name="_TG-TH_1_Book1_BC-QT-WB-dthao" xfId="553"/>
    <cellStyle name="_TG-TH_1_Book1_Book1" xfId="554"/>
    <cellStyle name="_TG-TH_1_Book1_DanhMucDonGiaVTTB_Dien_TAM" xfId="555"/>
    <cellStyle name="_TG-TH_1_Book1_khoiluongbdacdoa" xfId="557"/>
    <cellStyle name="_TG-TH_1_Book1_Kiem Tra Don Gia" xfId="556"/>
    <cellStyle name="_TG-TH_1_Book1_Tong hop 3 tinh (11_5)-TTH-QN-QT" xfId="558"/>
    <cellStyle name="_TG-TH_1_Book1_" xfId="559"/>
    <cellStyle name="_TG-TH_1_CAU Khanh Nam(Thi Cong)" xfId="560"/>
    <cellStyle name="_TG-TH_1_DAU NOI PL-CL TAI PHU LAMHC" xfId="561"/>
    <cellStyle name="_TG-TH_1_Dcdtoan-bcnckt " xfId="562"/>
    <cellStyle name="_TG-TH_1_DN_MTP" xfId="563"/>
    <cellStyle name="_TG-TH_1_Dongia2-2003" xfId="564"/>
    <cellStyle name="_TG-TH_1_Dongia2-2003_DT truong thinh phu" xfId="565"/>
    <cellStyle name="_TG-TH_1_DT truong thinh phu" xfId="566"/>
    <cellStyle name="_TG-TH_1_DTCDT MR.2N110.HOCMON.TDTOAN.CCUNG" xfId="567"/>
    <cellStyle name="_TG-TH_1_DTDuong dong tien -sua tham tra 2009 - luong 650" xfId="568"/>
    <cellStyle name="_TG-TH_1_DU TRU VAT TU" xfId="569"/>
    <cellStyle name="_TG-TH_1_khoiluongbdacdoa" xfId="571"/>
    <cellStyle name="_TG-TH_1_Kiem Tra Don Gia" xfId="570"/>
    <cellStyle name="_TG-TH_1_Lora-tungchau" xfId="572"/>
    <cellStyle name="_TG-TH_1_moi" xfId="573"/>
    <cellStyle name="_TG-TH_1_PGIA-phieu tham tra Kho bac" xfId="574"/>
    <cellStyle name="_TG-TH_1_PT02-02" xfId="575"/>
    <cellStyle name="_TG-TH_1_PT02-02_Book1" xfId="576"/>
    <cellStyle name="_TG-TH_1_PT02-03" xfId="577"/>
    <cellStyle name="_TG-TH_1_PT02-03_Book1" xfId="578"/>
    <cellStyle name="_TG-TH_1_Qt-HT3PQ1(CauKho)" xfId="579"/>
    <cellStyle name="_TG-TH_1_Qt-HT3PQ1(CauKho)_Book1" xfId="580"/>
    <cellStyle name="_TG-TH_1_Qt-HT3PQ1(CauKho)_Don gia quy 3 nam 2003 - Ban Dien Luc" xfId="581"/>
    <cellStyle name="_TG-TH_1_Qt-HT3PQ1(CauKho)_Kiem Tra Don Gia" xfId="582"/>
    <cellStyle name="_TG-TH_1_Qt-HT3PQ1(CauKho)_Kiem Tra Don Gia 2" xfId="583"/>
    <cellStyle name="_TG-TH_1_Qt-HT3PQ1(CauKho)_NC-VL2-2003" xfId="584"/>
    <cellStyle name="_TG-TH_1_Qt-HT3PQ1(CauKho)_NC-VL2-2003_1" xfId="585"/>
    <cellStyle name="_TG-TH_1_Qt-HT3PQ1(CauKho)_XL4Test5" xfId="586"/>
    <cellStyle name="_TG-TH_1_QT-LCTP-AE" xfId="587"/>
    <cellStyle name="_TG-TH_1_Sheet2" xfId="588"/>
    <cellStyle name="_TG-TH_1_TEL OUT 2004" xfId="589"/>
    <cellStyle name="_TG-TH_1_Tong hop 3 tinh (11_5)-TTH-QN-QT" xfId="590"/>
    <cellStyle name="_TG-TH_1_XL4Poppy" xfId="591"/>
    <cellStyle name="_TG-TH_1_XL4Test5" xfId="592"/>
    <cellStyle name="_TG-TH_1_ÿÿÿÿÿ" xfId="593"/>
    <cellStyle name="_TG-TH_1_" xfId="594"/>
    <cellStyle name="_TG-TH_2" xfId="595"/>
    <cellStyle name="_TG-TH_2_BANG TONG HOP TINH HINH THANH QUYET TOAN (MOI I)" xfId="596"/>
    <cellStyle name="_TG-TH_2_BAO CAO KLCT PT2000" xfId="597"/>
    <cellStyle name="_TG-TH_2_BAO CAO PT2000" xfId="598"/>
    <cellStyle name="_TG-TH_2_BAO CAO PT2000_Book1" xfId="599"/>
    <cellStyle name="_TG-TH_2_Bao cao XDCB 2001 - T11 KH dieu chinh 20-11-THAI" xfId="600"/>
    <cellStyle name="_TG-TH_2_BAO GIA NGAY 24-10-08 (co dam)" xfId="601"/>
    <cellStyle name="_TG-TH_2_Biểu KH 5 năm gửi UB sửa biểu VHXH" xfId="602"/>
    <cellStyle name="_TG-TH_2_Book1" xfId="603"/>
    <cellStyle name="_TG-TH_2_Book1_1" xfId="604"/>
    <cellStyle name="_TG-TH_2_Book1_1_Book1" xfId="605"/>
    <cellStyle name="_TG-TH_2_Book1_1_DanhMucDonGiaVTTB_Dien_TAM" xfId="606"/>
    <cellStyle name="_TG-TH_2_Book1_1_khoiluongbdacdoa" xfId="607"/>
    <cellStyle name="_TG-TH_2_Book1_2" xfId="608"/>
    <cellStyle name="_TG-TH_2_Book1_2_Book1" xfId="609"/>
    <cellStyle name="_TG-TH_2_Book1_3" xfId="610"/>
    <cellStyle name="_TG-TH_2_Book1_3_Book1" xfId="611"/>
    <cellStyle name="_TG-TH_2_Book1_3_DT truong thinh phu" xfId="612"/>
    <cellStyle name="_TG-TH_2_Book1_3_XL4Test5" xfId="613"/>
    <cellStyle name="_TG-TH_2_Book1_4" xfId="614"/>
    <cellStyle name="_TG-TH_2_Book1_Book1" xfId="615"/>
    <cellStyle name="_TG-TH_2_Book1_DanhMucDonGiaVTTB_Dien_TAM" xfId="616"/>
    <cellStyle name="_TG-TH_2_Book1_khoiluongbdacdoa" xfId="618"/>
    <cellStyle name="_TG-TH_2_Book1_Kiem Tra Don Gia" xfId="617"/>
    <cellStyle name="_TG-TH_2_Book1_Tong hop 3 tinh (11_5)-TTH-QN-QT" xfId="619"/>
    <cellStyle name="_TG-TH_2_Book1_" xfId="620"/>
    <cellStyle name="_TG-TH_2_CAU Khanh Nam(Thi Cong)" xfId="621"/>
    <cellStyle name="_TG-TH_2_DAU NOI PL-CL TAI PHU LAMHC" xfId="622"/>
    <cellStyle name="_TG-TH_2_Dcdtoan-bcnckt " xfId="623"/>
    <cellStyle name="_TG-TH_2_DN_MTP" xfId="624"/>
    <cellStyle name="_TG-TH_2_Dongia2-2003" xfId="625"/>
    <cellStyle name="_TG-TH_2_Dongia2-2003_DT truong thinh phu" xfId="626"/>
    <cellStyle name="_TG-TH_2_DT truong thinh phu" xfId="627"/>
    <cellStyle name="_TG-TH_2_DTCDT MR.2N110.HOCMON.TDTOAN.CCUNG" xfId="628"/>
    <cellStyle name="_TG-TH_2_DTDuong dong tien -sua tham tra 2009 - luong 650" xfId="629"/>
    <cellStyle name="_TG-TH_2_DU TRU VAT TU" xfId="630"/>
    <cellStyle name="_TG-TH_2_khoiluongbdacdoa" xfId="632"/>
    <cellStyle name="_TG-TH_2_Kiem Tra Don Gia" xfId="631"/>
    <cellStyle name="_TG-TH_2_Lora-tungchau" xfId="633"/>
    <cellStyle name="_TG-TH_2_moi" xfId="634"/>
    <cellStyle name="_TG-TH_2_PGIA-phieu tham tra Kho bac" xfId="635"/>
    <cellStyle name="_TG-TH_2_PT02-02" xfId="636"/>
    <cellStyle name="_TG-TH_2_PT02-02_Book1" xfId="637"/>
    <cellStyle name="_TG-TH_2_PT02-03" xfId="638"/>
    <cellStyle name="_TG-TH_2_PT02-03_Book1" xfId="639"/>
    <cellStyle name="_TG-TH_2_Qt-HT3PQ1(CauKho)" xfId="640"/>
    <cellStyle name="_TG-TH_2_Qt-HT3PQ1(CauKho)_Book1" xfId="641"/>
    <cellStyle name="_TG-TH_2_Qt-HT3PQ1(CauKho)_Don gia quy 3 nam 2003 - Ban Dien Luc" xfId="642"/>
    <cellStyle name="_TG-TH_2_Qt-HT3PQ1(CauKho)_Kiem Tra Don Gia" xfId="643"/>
    <cellStyle name="_TG-TH_2_Qt-HT3PQ1(CauKho)_Kiem Tra Don Gia 2" xfId="644"/>
    <cellStyle name="_TG-TH_2_Qt-HT3PQ1(CauKho)_NC-VL2-2003" xfId="645"/>
    <cellStyle name="_TG-TH_2_Qt-HT3PQ1(CauKho)_NC-VL2-2003_1" xfId="646"/>
    <cellStyle name="_TG-TH_2_Qt-HT3PQ1(CauKho)_XL4Test5" xfId="647"/>
    <cellStyle name="_TG-TH_2_QT-LCTP-AE" xfId="648"/>
    <cellStyle name="_TG-TH_2_quy luong con lai nam 2004" xfId="649"/>
    <cellStyle name="_TG-TH_2_Sheet2" xfId="650"/>
    <cellStyle name="_TG-TH_2_TEL OUT 2004" xfId="651"/>
    <cellStyle name="_TG-TH_2_Tong hop 3 tinh (11_5)-TTH-QN-QT" xfId="652"/>
    <cellStyle name="_TG-TH_2_XL4Poppy" xfId="653"/>
    <cellStyle name="_TG-TH_2_XL4Test5" xfId="654"/>
    <cellStyle name="_TG-TH_2_ÿÿÿÿÿ" xfId="655"/>
    <cellStyle name="_TG-TH_2_" xfId="656"/>
    <cellStyle name="_TG-TH_3" xfId="657"/>
    <cellStyle name="_TG-TH_3_Book1" xfId="658"/>
    <cellStyle name="_TG-TH_3_Lora-tungchau" xfId="659"/>
    <cellStyle name="_TG-TH_3_Qt-HT3PQ1(CauKho)" xfId="660"/>
    <cellStyle name="_TG-TH_3_Qt-HT3PQ1(CauKho)_Book1" xfId="661"/>
    <cellStyle name="_TG-TH_3_Qt-HT3PQ1(CauKho)_Don gia quy 3 nam 2003 - Ban Dien Luc" xfId="662"/>
    <cellStyle name="_TG-TH_3_Qt-HT3PQ1(CauKho)_Kiem Tra Don Gia" xfId="663"/>
    <cellStyle name="_TG-TH_3_Qt-HT3PQ1(CauKho)_Kiem Tra Don Gia 2" xfId="664"/>
    <cellStyle name="_TG-TH_3_Qt-HT3PQ1(CauKho)_NC-VL2-2003" xfId="665"/>
    <cellStyle name="_TG-TH_3_Qt-HT3PQ1(CauKho)_NC-VL2-2003_1" xfId="666"/>
    <cellStyle name="_TG-TH_3_Qt-HT3PQ1(CauKho)_XL4Test5" xfId="667"/>
    <cellStyle name="_TG-TH_3_quy luong con lai nam 2004" xfId="668"/>
    <cellStyle name="_TG-TH_3_" xfId="669"/>
    <cellStyle name="_TG-TH_4" xfId="670"/>
    <cellStyle name="_TG-TH_4_Book1" xfId="671"/>
    <cellStyle name="_TG-TH_4_DTDuong dong tien -sua tham tra 2009 - luong 650" xfId="672"/>
    <cellStyle name="_TG-TH_4_quy luong con lai nam 2004" xfId="673"/>
    <cellStyle name="_TH KHAI TOAN THU THIEM cac tuyen TT noi" xfId="678"/>
    <cellStyle name="_TKP" xfId="674"/>
    <cellStyle name="_Tong dutoan PP LAHAI" xfId="675"/>
    <cellStyle name="_Tong hop 3 tinh (11_5)-TTH-QN-QT" xfId="676"/>
    <cellStyle name="_Tong hop may cheu nganh 1" xfId="677"/>
    <cellStyle name="_ung 2011 - 11-6-Thanh hoa-Nghe an" xfId="679"/>
    <cellStyle name="_ung truoc 2011 NSTW Thanh Hoa + Nge An gui Thu 12-5" xfId="680"/>
    <cellStyle name="_ung truoc cua long an (6-5-2010)" xfId="681"/>
    <cellStyle name="_ung von chinh thuc doan kiem tra TAY NAM BO" xfId="682"/>
    <cellStyle name="_Ung von nam 2011 vung TNB - Doan Cong tac (12-5-2010)" xfId="683"/>
    <cellStyle name="_Ung von nam 2011 vung TNB - Doan Cong tac (12-5-2010)_Copy of ghep 3 bieu trinh LD BO 28-6 (TPCP)" xfId="684"/>
    <cellStyle name="_ÿÿÿÿÿ" xfId="685"/>
    <cellStyle name="_ÿÿÿÿÿ_Kh ql62 (2010) 11-09" xfId="686"/>
    <cellStyle name="_" xfId="687"/>
    <cellStyle name="_ 2" xfId="688"/>
    <cellStyle name="__1" xfId="689"/>
    <cellStyle name="__1 2" xfId="690"/>
    <cellStyle name="__Bao gia TB Kon Dao 2010" xfId="691"/>
    <cellStyle name="~1" xfId="692"/>
    <cellStyle name="’Ê‰Ý [0.00]_laroux" xfId="693"/>
    <cellStyle name="’Ê‰Ý_laroux" xfId="694"/>
    <cellStyle name="•W?_Format" xfId="695"/>
    <cellStyle name="•W€_¯–ì" xfId="696"/>
    <cellStyle name="•W_¯–ì" xfId="697"/>
    <cellStyle name="W_MARINE" xfId="698"/>
    <cellStyle name="0" xfId="699"/>
    <cellStyle name="0.0" xfId="700"/>
    <cellStyle name="0.00" xfId="701"/>
    <cellStyle name="1" xfId="702"/>
    <cellStyle name="1_17 bieu (hung cap nhap)" xfId="703"/>
    <cellStyle name="1_2-Ha GiangBB2011-V1" xfId="704"/>
    <cellStyle name="1_50-BB Vung tau 2011" xfId="705"/>
    <cellStyle name="1_52-Long An2011.BB-V1" xfId="706"/>
    <cellStyle name="1_7 noi 48 goi C5 9 vi na" xfId="707"/>
    <cellStyle name="1_BANG KE VAT TU" xfId="708"/>
    <cellStyle name="1_Bao cao doan cong tac cua Bo thang 4-2010" xfId="709"/>
    <cellStyle name="1_Bao cao giai ngan von dau tu nam 2009 (theo doi)" xfId="710"/>
    <cellStyle name="1_Bao cao giai ngan von dau tu nam 2009 (theo doi)_Bao cao doan cong tac cua Bo thang 4-2010" xfId="711"/>
    <cellStyle name="1_Bao cao giai ngan von dau tu nam 2009 (theo doi)_Ke hoach 2009 (theo doi) -1" xfId="712"/>
    <cellStyle name="1_Bao cao KP tu chu" xfId="713"/>
    <cellStyle name="1_BAO GIA NGAY 24-10-08 (co dam)" xfId="714"/>
    <cellStyle name="1_Bao gia TB Kon Dao 2010" xfId="715"/>
    <cellStyle name="1_BC 8 thang 2009 ve CT trong diem 5nam" xfId="716"/>
    <cellStyle name="1_BC 8 thang 2009 ve CT trong diem 5nam_Bao cao doan cong tac cua Bo thang 4-2010" xfId="717"/>
    <cellStyle name="1_BC 8 thang 2009 ve CT trong diem 5nam_bieu 01" xfId="718"/>
    <cellStyle name="1_BC 8 thang 2009 ve CT trong diem 5nam_bieu 01_Bao cao doan cong tac cua Bo thang 4-2010" xfId="719"/>
    <cellStyle name="1_BC nam 2007 (UB)" xfId="720"/>
    <cellStyle name="1_BC nam 2007 (UB)_Bao cao doan cong tac cua Bo thang 4-2010" xfId="721"/>
    <cellStyle name="1_bieu 1" xfId="722"/>
    <cellStyle name="1_bieu 2" xfId="723"/>
    <cellStyle name="1_bieu 4" xfId="724"/>
    <cellStyle name="1_bieu tong hop" xfId="725"/>
    <cellStyle name="1_Book1" xfId="726"/>
    <cellStyle name="1_Book1_1" xfId="727"/>
    <cellStyle name="1_Book1_1_VBPL kiểm toán Đầu tư XDCB 2010" xfId="728"/>
    <cellStyle name="1_Book1_Bao cao doan cong tac cua Bo thang 4-2010" xfId="729"/>
    <cellStyle name="1_Book1_BL vu" xfId="730"/>
    <cellStyle name="1_Book1_Book1" xfId="731"/>
    <cellStyle name="1_Book1_Gia - Thanh An" xfId="732"/>
    <cellStyle name="1_Book1_VBPL kiểm toán Đầu tư XDCB 2010" xfId="733"/>
    <cellStyle name="1_Book2" xfId="734"/>
    <cellStyle name="1_Book2_Bao cao doan cong tac cua Bo thang 4-2010" xfId="735"/>
    <cellStyle name="1_Cau thuy dien Ban La (Cu Anh)" xfId="736"/>
    <cellStyle name="1_Copy of ghep 3 bieu trinh LD BO 28-6 (TPCP)" xfId="737"/>
    <cellStyle name="1_Danh sach gui BC thuc hien KH2009" xfId="738"/>
    <cellStyle name="1_Danh sach gui BC thuc hien KH2009_Bao cao doan cong tac cua Bo thang 4-2010" xfId="739"/>
    <cellStyle name="1_Danh sach gui BC thuc hien KH2009_Ke hoach 2009 (theo doi) -1" xfId="740"/>
    <cellStyle name="1_Don gia Du thau ( XL19)" xfId="741"/>
    <cellStyle name="1_DT972000" xfId="742"/>
    <cellStyle name="1_dtCau Km3+429,21TL685" xfId="743"/>
    <cellStyle name="1_Dtdchinh2397" xfId="744"/>
    <cellStyle name="1_Dtdchinh2397 2" xfId="745"/>
    <cellStyle name="1_Du thau" xfId="748"/>
    <cellStyle name="1_Du toan 558 (Km17+508.12 - Km 22)" xfId="746"/>
    <cellStyle name="1_du toan lan 3" xfId="747"/>
    <cellStyle name="1_Gia - Thanh An" xfId="749"/>
    <cellStyle name="1_Gia_VLQL48_duyet " xfId="750"/>
    <cellStyle name="1_GIA-DUTHAUsuaNS" xfId="751"/>
    <cellStyle name="1_KH 2007 (theo doi)" xfId="755"/>
    <cellStyle name="1_KH 2007 (theo doi)_Bao cao doan cong tac cua Bo thang 4-2010" xfId="756"/>
    <cellStyle name="1_Kh ql62 (2010) 11-09" xfId="757"/>
    <cellStyle name="1_khoiluongbdacdoa" xfId="758"/>
    <cellStyle name="1_KL km 0-km3+300 dieu chinh 4-2008" xfId="752"/>
    <cellStyle name="1_KLNM 1303" xfId="753"/>
    <cellStyle name="1_KlQdinhduyet" xfId="754"/>
    <cellStyle name="1_LuuNgay17-03-2009Đơn KN Cục thuế" xfId="759"/>
    <cellStyle name="1_NTHOC" xfId="760"/>
    <cellStyle name="1_NTHOC_Tong hop theo doi von TPCP" xfId="761"/>
    <cellStyle name="1_NTHOC_Tong hop theo doi von TPCP_Bao cao kiem toan kh 2010" xfId="762"/>
    <cellStyle name="1_NTHOC_Tong hop theo doi von TPCP_Ke hoach 2010 (theo doi)2" xfId="763"/>
    <cellStyle name="1_NTHOC_Tong hop theo doi von TPCP_QD UBND tinh" xfId="764"/>
    <cellStyle name="1_NTHOC_Tong hop theo doi von TPCP_Worksheet in D: My Documents Luc Van ban xu ly Nam 2011 Bao cao ra soat tam ung TPCP" xfId="765"/>
    <cellStyle name="1_QT Thue GTGT 2008" xfId="766"/>
    <cellStyle name="1_Ra soat Giai ngan 2007 (dang lam)" xfId="767"/>
    <cellStyle name="1_Theo doi von TPCP (dang lam)" xfId="769"/>
    <cellStyle name="1_Thong ke cong" xfId="770"/>
    <cellStyle name="1_thong ke giao dan sinh" xfId="771"/>
    <cellStyle name="1_TonghopKL_BOY-sual2" xfId="768"/>
    <cellStyle name="1_TRUNG PMU 5" xfId="772"/>
    <cellStyle name="1_VBPL kiểm toán Đầu tư XDCB 2010" xfId="773"/>
    <cellStyle name="1_ÿÿÿÿÿ" xfId="774"/>
    <cellStyle name="1_ÿÿÿÿÿ_Bieu tong hop nhu cau ung 2011 da chon loc -Mien nui" xfId="775"/>
    <cellStyle name="1_ÿÿÿÿÿ_Kh ql62 (2010) 11-09" xfId="776"/>
    <cellStyle name="1_ÿÿÿÿÿ_mau bieu doan giam sat 2010 (version 2)" xfId="777"/>
    <cellStyle name="1_ÿÿÿÿÿ_mau bieu doan giam sat 2010 (version 2) 2" xfId="778"/>
    <cellStyle name="1_ÿÿÿÿÿ_VBPL kiểm toán Đầu tư XDCB 2010" xfId="779"/>
    <cellStyle name="1_" xfId="780"/>
    <cellStyle name="15" xfId="781"/>
    <cellStyle name="18" xfId="782"/>
    <cellStyle name="¹éºÐÀ²_      " xfId="783"/>
    <cellStyle name="2" xfId="784"/>
    <cellStyle name="2_7 noi 48 goi C5 9 vi na" xfId="785"/>
    <cellStyle name="2_BL vu" xfId="786"/>
    <cellStyle name="2_Book1" xfId="787"/>
    <cellStyle name="2_Book1_1" xfId="788"/>
    <cellStyle name="2_Book1_Bao cao kiem toan kh 2010" xfId="789"/>
    <cellStyle name="2_Book1_Ke hoach 2010 (theo doi)2" xfId="790"/>
    <cellStyle name="2_Book1_QD UBND tinh" xfId="791"/>
    <cellStyle name="2_Book1_VBPL kiểm toán Đầu tư XDCB 2010" xfId="792"/>
    <cellStyle name="2_Book1_Worksheet in D: My Documents Luc Van ban xu ly Nam 2011 Bao cao ra soat tam ung TPCP" xfId="793"/>
    <cellStyle name="2_Cau thuy dien Ban La (Cu Anh)" xfId="794"/>
    <cellStyle name="2_Dtdchinh2397" xfId="795"/>
    <cellStyle name="2_Dtdchinh2397 2" xfId="796"/>
    <cellStyle name="2_Du toan 558 (Km17+508.12 - Km 22)" xfId="797"/>
    <cellStyle name="2_Gia_VLQL48_duyet " xfId="798"/>
    <cellStyle name="2_KLNM 1303" xfId="799"/>
    <cellStyle name="2_KlQdinhduyet" xfId="800"/>
    <cellStyle name="2_NTHOC" xfId="801"/>
    <cellStyle name="2_NTHOC_Tong hop theo doi von TPCP" xfId="802"/>
    <cellStyle name="2_NTHOC_Tong hop theo doi von TPCP_Bao cao kiem toan kh 2010" xfId="803"/>
    <cellStyle name="2_NTHOC_Tong hop theo doi von TPCP_Ke hoach 2010 (theo doi)2" xfId="804"/>
    <cellStyle name="2_NTHOC_Tong hop theo doi von TPCP_QD UBND tinh" xfId="805"/>
    <cellStyle name="2_NTHOC_Tong hop theo doi von TPCP_Worksheet in D: My Documents Luc Van ban xu ly Nam 2011 Bao cao ra soat tam ung TPCP" xfId="806"/>
    <cellStyle name="2_Thong ke cong" xfId="812"/>
    <cellStyle name="2_thong ke giao dan sinh" xfId="813"/>
    <cellStyle name="2_Tong hop theo doi von TPCP" xfId="807"/>
    <cellStyle name="2_Tong hop theo doi von TPCP_Bao cao kiem toan kh 2010" xfId="808"/>
    <cellStyle name="2_Tong hop theo doi von TPCP_Ke hoach 2010 (theo doi)2" xfId="809"/>
    <cellStyle name="2_Tong hop theo doi von TPCP_QD UBND tinh" xfId="810"/>
    <cellStyle name="2_Tong hop theo doi von TPCP_Worksheet in D: My Documents Luc Van ban xu ly Nam 2011 Bao cao ra soat tam ung TPCP" xfId="811"/>
    <cellStyle name="2_TRUNG PMU 5" xfId="814"/>
    <cellStyle name="2_VBPL kiểm toán Đầu tư XDCB 2010" xfId="815"/>
    <cellStyle name="2_ÿÿÿÿÿ" xfId="816"/>
    <cellStyle name="2_ÿÿÿÿÿ_Bieu tong hop nhu cau ung 2011 da chon loc -Mien nui" xfId="817"/>
    <cellStyle name="2_ÿÿÿÿÿ_mau bieu doan giam sat 2010 (version 2)" xfId="818"/>
    <cellStyle name="2_ÿÿÿÿÿ_mau bieu doan giam sat 2010 (version 2) 2" xfId="819"/>
    <cellStyle name="20" xfId="820"/>
    <cellStyle name="20 2" xfId="821"/>
    <cellStyle name="20% - Accent1 2" xfId="822"/>
    <cellStyle name="20% - Accent2 2" xfId="823"/>
    <cellStyle name="20% - Accent3 2" xfId="824"/>
    <cellStyle name="20% - Accent4 2" xfId="825"/>
    <cellStyle name="20% - Accent5 2" xfId="826"/>
    <cellStyle name="20% - Accent6 2" xfId="827"/>
    <cellStyle name="20% - Nhấn1" xfId="828"/>
    <cellStyle name="20% - Nhấn2" xfId="829"/>
    <cellStyle name="20% - Nhấn3" xfId="830"/>
    <cellStyle name="20% - Nhấn4" xfId="831"/>
    <cellStyle name="20% - Nhấn5" xfId="832"/>
    <cellStyle name="20% - Nhấn6" xfId="833"/>
    <cellStyle name="-2001" xfId="834"/>
    <cellStyle name="-2001 2" xfId="835"/>
    <cellStyle name="3" xfId="836"/>
    <cellStyle name="3_7 noi 48 goi C5 9 vi na" xfId="837"/>
    <cellStyle name="3_Book1" xfId="838"/>
    <cellStyle name="3_Book1_1" xfId="839"/>
    <cellStyle name="3_Cau thuy dien Ban La (Cu Anh)" xfId="840"/>
    <cellStyle name="3_Dtdchinh2397" xfId="841"/>
    <cellStyle name="3_Dtdchinh2397 2" xfId="842"/>
    <cellStyle name="3_Du toan 558 (Km17+508.12 - Km 22)" xfId="843"/>
    <cellStyle name="3_Gia_VLQL48_duyet " xfId="844"/>
    <cellStyle name="3_KLNM 1303" xfId="845"/>
    <cellStyle name="3_KlQdinhduyet" xfId="846"/>
    <cellStyle name="3_Thong ke cong" xfId="847"/>
    <cellStyle name="3_thong ke giao dan sinh" xfId="848"/>
    <cellStyle name="3_VBPL kiểm toán Đầu tư XDCB 2010" xfId="849"/>
    <cellStyle name="3_ÿÿÿÿÿ" xfId="850"/>
    <cellStyle name="4" xfId="851"/>
    <cellStyle name="4_7 noi 48 goi C5 9 vi na" xfId="852"/>
    <cellStyle name="4_Book1" xfId="853"/>
    <cellStyle name="4_Book1_1" xfId="854"/>
    <cellStyle name="4_Cau thuy dien Ban La (Cu Anh)" xfId="855"/>
    <cellStyle name="4_Dtdchinh2397" xfId="856"/>
    <cellStyle name="4_Dtdchinh2397 2" xfId="857"/>
    <cellStyle name="4_Du toan 558 (Km17+508.12 - Km 22)" xfId="858"/>
    <cellStyle name="4_Gia_VLQL48_duyet " xfId="859"/>
    <cellStyle name="4_KLNM 1303" xfId="860"/>
    <cellStyle name="4_KlQdinhduyet" xfId="861"/>
    <cellStyle name="4_Thong ke cong" xfId="862"/>
    <cellStyle name="4_thong ke giao dan sinh" xfId="863"/>
    <cellStyle name="4_ÿÿÿÿÿ" xfId="864"/>
    <cellStyle name="40% - Accent1 2" xfId="865"/>
    <cellStyle name="40% - Accent2 2" xfId="866"/>
    <cellStyle name="40% - Accent3 2" xfId="867"/>
    <cellStyle name="40% - Accent4 2" xfId="868"/>
    <cellStyle name="40% - Accent5 2" xfId="869"/>
    <cellStyle name="40% - Accent6 2" xfId="870"/>
    <cellStyle name="40% - Nhấn1" xfId="871"/>
    <cellStyle name="40% - Nhấn2" xfId="872"/>
    <cellStyle name="40% - Nhấn3" xfId="873"/>
    <cellStyle name="40% - Nhấn4" xfId="874"/>
    <cellStyle name="40% - Nhấn5" xfId="875"/>
    <cellStyle name="40% - Nhấn6" xfId="876"/>
    <cellStyle name="6" xfId="877"/>
    <cellStyle name="6_Bieu mau ung 2011-Mien Trung-TPCP-11-6" xfId="878"/>
    <cellStyle name="6_Copy of ghep 3 bieu trinh LD BO 28-6 (TPCP)" xfId="879"/>
    <cellStyle name="6_DTDuong dong tien -sua tham tra 2009 - luong 650" xfId="880"/>
    <cellStyle name="6_DTDuong dong tien -sua tham tra 2009 - luong 650 2" xfId="881"/>
    <cellStyle name="6_Nhu cau tam ung NSNN&amp;TPCP&amp;ODA theo tieu chi cua Bo (CV410_BKH-TH)_vung Tay Nguyen (11.6.2010)" xfId="882"/>
    <cellStyle name="60% - Accent1 2" xfId="883"/>
    <cellStyle name="60% - Accent2 2" xfId="884"/>
    <cellStyle name="60% - Accent3 2" xfId="885"/>
    <cellStyle name="60% - Accent4 2" xfId="886"/>
    <cellStyle name="60% - Accent5 2" xfId="887"/>
    <cellStyle name="60% - Accent6 2" xfId="888"/>
    <cellStyle name="60% - Nhấn1" xfId="889"/>
    <cellStyle name="60% - Nhấn2" xfId="890"/>
    <cellStyle name="60% - Nhấn3" xfId="891"/>
    <cellStyle name="60% - Nhấn4" xfId="892"/>
    <cellStyle name="60% - Nhấn5" xfId="893"/>
    <cellStyle name="60% - Nhấn6" xfId="894"/>
    <cellStyle name="9" xfId="895"/>
    <cellStyle name="Accent1 2" xfId="896"/>
    <cellStyle name="Accent2 2" xfId="897"/>
    <cellStyle name="Accent3 2" xfId="898"/>
    <cellStyle name="Accent4 2" xfId="899"/>
    <cellStyle name="Accent5 2" xfId="900"/>
    <cellStyle name="Accent6 2" xfId="901"/>
    <cellStyle name="ÅëÈ­ [0]_      " xfId="902"/>
    <cellStyle name="AeE­ [0]_INQUIRY ¿?¾÷AßAø " xfId="903"/>
    <cellStyle name="ÅëÈ­ [0]_laroux" xfId="904"/>
    <cellStyle name="ÅëÈ­_      " xfId="905"/>
    <cellStyle name="AeE­_INQUIRY ¿?¾÷AßAø " xfId="906"/>
    <cellStyle name="ÅëÈ­_laroux" xfId="907"/>
    <cellStyle name="args.style" xfId="908"/>
    <cellStyle name="args.style 2" xfId="909"/>
    <cellStyle name="at" xfId="910"/>
    <cellStyle name="ÄÞ¸¶ [0]_      " xfId="911"/>
    <cellStyle name="AÞ¸¶ [0]_INQUIRY ¿?¾÷AßAø " xfId="912"/>
    <cellStyle name="ÄÞ¸¶ [0]_L601CPT" xfId="913"/>
    <cellStyle name="ÄÞ¸¶_      " xfId="914"/>
    <cellStyle name="AÞ¸¶_INQUIRY ¿?¾÷AßAø " xfId="915"/>
    <cellStyle name="ÄÞ¸¶_L601CPT" xfId="916"/>
    <cellStyle name="AutoFormat Options" xfId="917"/>
    <cellStyle name="AutoFormat-Optionen" xfId="918"/>
    <cellStyle name="AutoFormat-Optionen 2" xfId="919"/>
    <cellStyle name="AutoFormat-Optionen 2 2" xfId="920"/>
    <cellStyle name="Bad 2" xfId="921"/>
    <cellStyle name="Body" xfId="922"/>
    <cellStyle name="C?AØ_¿?¾÷CoE² " xfId="923"/>
    <cellStyle name="C~1" xfId="924"/>
    <cellStyle name="Ç¥ÁØ_      " xfId="925"/>
    <cellStyle name="C￥AØ_¿μ¾÷CoE² " xfId="926"/>
    <cellStyle name="Ç¥ÁØ_±³°¢¼ö·®" xfId="927"/>
    <cellStyle name="C￥AØ_Sheet1_¿μ¾÷CoE² " xfId="928"/>
    <cellStyle name="Calc Currency (0)" xfId="929"/>
    <cellStyle name="Calc Currency (0) 2" xfId="930"/>
    <cellStyle name="Calc Currency (2)" xfId="931"/>
    <cellStyle name="Calc Percent (0)" xfId="932"/>
    <cellStyle name="Calc Percent (1)" xfId="933"/>
    <cellStyle name="Calc Percent (2)" xfId="934"/>
    <cellStyle name="Calc Percent (2) 2" xfId="935"/>
    <cellStyle name="Calc Units (0)" xfId="936"/>
    <cellStyle name="Calc Units (1)" xfId="937"/>
    <cellStyle name="Calc Units (2)" xfId="938"/>
    <cellStyle name="Calculation 2" xfId="939"/>
    <cellStyle name="category" xfId="940"/>
    <cellStyle name="Cerrency_Sheet2_XANGDAU" xfId="941"/>
    <cellStyle name="Check Cell 2" xfId="1024"/>
    <cellStyle name="Chi phÝ kh¸c_Book1" xfId="1025"/>
    <cellStyle name="chu" xfId="1026"/>
    <cellStyle name="Chuẩn 3" xfId="1027"/>
    <cellStyle name="CHUONG" xfId="1028"/>
    <cellStyle name="Co?ma_Sheet1" xfId="942"/>
    <cellStyle name="Comma" xfId="943" builtinId="3"/>
    <cellStyle name="Comma  - Style1" xfId="944"/>
    <cellStyle name="Comma  - Style2" xfId="945"/>
    <cellStyle name="Comma  - Style3" xfId="946"/>
    <cellStyle name="Comma  - Style4" xfId="947"/>
    <cellStyle name="Comma  - Style5" xfId="948"/>
    <cellStyle name="Comma  - Style6" xfId="949"/>
    <cellStyle name="Comma  - Style7" xfId="950"/>
    <cellStyle name="Comma  - Style8" xfId="951"/>
    <cellStyle name="Comma [0] 11" xfId="952"/>
    <cellStyle name="Comma [0] 2" xfId="953"/>
    <cellStyle name="Comma [0] 3" xfId="954"/>
    <cellStyle name="Comma [0] 4" xfId="955"/>
    <cellStyle name="Comma [0] 4 2 2 2" xfId="956"/>
    <cellStyle name="Comma [0] 4 2 2 2 2" xfId="957"/>
    <cellStyle name="Comma [0] 4 3 2" xfId="958"/>
    <cellStyle name="Comma [0] 5" xfId="959"/>
    <cellStyle name="Comma [00]" xfId="960"/>
    <cellStyle name="Comma 10" xfId="961"/>
    <cellStyle name="Comma 10 10" xfId="962"/>
    <cellStyle name="Comma 10 2" xfId="963"/>
    <cellStyle name="Comma 10 3" xfId="964"/>
    <cellStyle name="Comma 11" xfId="965"/>
    <cellStyle name="Comma 12" xfId="966"/>
    <cellStyle name="Comma 14" xfId="967"/>
    <cellStyle name="Comma 15" xfId="968"/>
    <cellStyle name="Comma 2" xfId="969"/>
    <cellStyle name="Comma 2 2" xfId="970"/>
    <cellStyle name="Comma 2 2 2" xfId="971"/>
    <cellStyle name="Comma 2 2 3" xfId="972"/>
    <cellStyle name="Comma 2 2 4" xfId="973"/>
    <cellStyle name="Comma 2 28" xfId="974"/>
    <cellStyle name="Comma 2 3" xfId="975"/>
    <cellStyle name="Comma 2 4" xfId="976"/>
    <cellStyle name="Comma 2 5" xfId="977"/>
    <cellStyle name="Comma 2 7" xfId="978"/>
    <cellStyle name="Comma 2_bieu 1" xfId="979"/>
    <cellStyle name="Comma 2_VBPL kiểm toán Đầu tư XDCB 2010" xfId="2016"/>
    <cellStyle name="Comma 22 3" xfId="980"/>
    <cellStyle name="Comma 23" xfId="981"/>
    <cellStyle name="Comma 24" xfId="982"/>
    <cellStyle name="Comma 28" xfId="983"/>
    <cellStyle name="Comma 3" xfId="984"/>
    <cellStyle name="Comma 3 2" xfId="985"/>
    <cellStyle name="Comma 3_BC 6 thang_Phu Luc" xfId="986"/>
    <cellStyle name="Comma 4" xfId="987"/>
    <cellStyle name="Comma 4 2" xfId="988"/>
    <cellStyle name="Comma 4 20" xfId="989"/>
    <cellStyle name="Comma 4_Bieu mau KH 2011 (gui Vu DP)" xfId="990"/>
    <cellStyle name="Comma 40" xfId="991"/>
    <cellStyle name="Comma 41" xfId="992"/>
    <cellStyle name="Comma 44" xfId="993"/>
    <cellStyle name="Comma 5" xfId="994"/>
    <cellStyle name="Comma 5 2" xfId="995"/>
    <cellStyle name="Comma 6" xfId="996"/>
    <cellStyle name="Comma 7" xfId="997"/>
    <cellStyle name="Comma 7 2" xfId="998"/>
    <cellStyle name="Comma 8" xfId="999"/>
    <cellStyle name="Comma 9" xfId="1000"/>
    <cellStyle name="comma zerodec" xfId="1001"/>
    <cellStyle name="comma zerodec 2" xfId="1002"/>
    <cellStyle name="Comma0" xfId="1003"/>
    <cellStyle name="Comma0 - Modelo1" xfId="1004"/>
    <cellStyle name="Comma0 - Style1" xfId="1005"/>
    <cellStyle name="Comma0_Dat TP Kon Tum Ko Dung QD" xfId="1006"/>
    <cellStyle name="Comma1 - Modelo2" xfId="1007"/>
    <cellStyle name="Comma1 - Style2" xfId="1008"/>
    <cellStyle name="cong" xfId="1009"/>
    <cellStyle name="Copied" xfId="1010"/>
    <cellStyle name="Cࡵrrency_Sheet1_PRODUCTĠ" xfId="1011"/>
    <cellStyle name="Currency [00]" xfId="1012"/>
    <cellStyle name="Currency0" xfId="1013"/>
    <cellStyle name="Currency0 2" xfId="1014"/>
    <cellStyle name="Currency0 2 2" xfId="1015"/>
    <cellStyle name="Currency0 2 3" xfId="1016"/>
    <cellStyle name="Currency0 2 4" xfId="1017"/>
    <cellStyle name="Currency0 2_Khoi cong moi 1" xfId="1018"/>
    <cellStyle name="Currency0 3" xfId="1019"/>
    <cellStyle name="Currency0 4" xfId="1020"/>
    <cellStyle name="Currency0_Book1" xfId="1021"/>
    <cellStyle name="Currency1" xfId="1022"/>
    <cellStyle name="Currency1 2" xfId="1023"/>
    <cellStyle name="D1" xfId="1029"/>
    <cellStyle name="D1 2" xfId="1030"/>
    <cellStyle name="Date" xfId="1031"/>
    <cellStyle name="Date Short" xfId="1032"/>
    <cellStyle name="Date Short 2" xfId="1033"/>
    <cellStyle name="Date_17 bieu (hung cap nhap)" xfId="1034"/>
    <cellStyle name="Dấu phảy [0] 2 2" xfId="1036"/>
    <cellStyle name="Đầu ra" xfId="1150"/>
    <cellStyle name="Đầu vào" xfId="1151"/>
    <cellStyle name="DAUDE" xfId="1035"/>
    <cellStyle name="Đề mục 1" xfId="1152"/>
    <cellStyle name="Đề mục 2" xfId="1153"/>
    <cellStyle name="Đề mục 3" xfId="1154"/>
    <cellStyle name="Đề mục 4" xfId="1155"/>
    <cellStyle name="Decimal" xfId="1037"/>
    <cellStyle name="Decimal 2" xfId="1038"/>
    <cellStyle name="Decimal 3" xfId="1039"/>
    <cellStyle name="Decimal 4" xfId="1040"/>
    <cellStyle name="DELTA" xfId="1041"/>
    <cellStyle name="DELTA 2" xfId="1042"/>
    <cellStyle name="Dezimal [0]_35ERI8T2gbIEMixb4v26icuOo" xfId="1043"/>
    <cellStyle name="Dezimal_35ERI8T2gbIEMixb4v26icuOo" xfId="1044"/>
    <cellStyle name="Dg" xfId="1045"/>
    <cellStyle name="Dgia" xfId="1046"/>
    <cellStyle name="Dgia 2" xfId="1047"/>
    <cellStyle name="Dia" xfId="1048"/>
    <cellStyle name="Dollar (zero dec)" xfId="1049"/>
    <cellStyle name="Dollar (zero dec) 2" xfId="1050"/>
    <cellStyle name="Don gia" xfId="1051"/>
    <cellStyle name="Don gia 2" xfId="1052"/>
    <cellStyle name="DuToanBXD" xfId="1053"/>
    <cellStyle name="Dziesi?tny [0]_Invoices2001Slovakia" xfId="1054"/>
    <cellStyle name="Dziesi?tny_Invoices2001Slovakia" xfId="1055"/>
    <cellStyle name="Dziesietny [0]_Invoices2001Slovakia" xfId="1056"/>
    <cellStyle name="Dziesiętny [0]_Invoices2001Slovakia" xfId="1057"/>
    <cellStyle name="Dziesietny [0]_Invoices2001Slovakia_01_Nha so 1_Dien" xfId="1058"/>
    <cellStyle name="Dziesiętny [0]_Invoices2001Slovakia_01_Nha so 1_Dien" xfId="1059"/>
    <cellStyle name="Dziesietny [0]_Invoices2001Slovakia_01_Nha so 1_Dien 2" xfId="1060"/>
    <cellStyle name="Dziesiętny [0]_Invoices2001Slovakia_01_Nha so 1_Dien 2" xfId="1061"/>
    <cellStyle name="Dziesietny [0]_Invoices2001Slovakia_10_Nha so 10_Dien1" xfId="1062"/>
    <cellStyle name="Dziesiętny [0]_Invoices2001Slovakia_10_Nha so 10_Dien1" xfId="1063"/>
    <cellStyle name="Dziesietny [0]_Invoices2001Slovakia_10_Nha so 10_Dien1 2" xfId="1064"/>
    <cellStyle name="Dziesiętny [0]_Invoices2001Slovakia_10_Nha so 10_Dien1 2" xfId="1065"/>
    <cellStyle name="Dziesietny [0]_Invoices2001Slovakia_Book1" xfId="1066"/>
    <cellStyle name="Dziesiętny [0]_Invoices2001Slovakia_Book1" xfId="1067"/>
    <cellStyle name="Dziesietny [0]_Invoices2001Slovakia_Book1_1" xfId="1068"/>
    <cellStyle name="Dziesiętny [0]_Invoices2001Slovakia_Book1_1" xfId="1069"/>
    <cellStyle name="Dziesietny [0]_Invoices2001Slovakia_Book1_1 2" xfId="1070"/>
    <cellStyle name="Dziesiętny [0]_Invoices2001Slovakia_Book1_1 2" xfId="1071"/>
    <cellStyle name="Dziesietny [0]_Invoices2001Slovakia_Book1_1_Book1" xfId="1072"/>
    <cellStyle name="Dziesiętny [0]_Invoices2001Slovakia_Book1_1_Book1" xfId="1073"/>
    <cellStyle name="Dziesietny [0]_Invoices2001Slovakia_Book1_1_Book1 2" xfId="1074"/>
    <cellStyle name="Dziesiętny [0]_Invoices2001Slovakia_Book1_1_Book1 2" xfId="1075"/>
    <cellStyle name="Dziesietny [0]_Invoices2001Slovakia_Book1_2" xfId="1076"/>
    <cellStyle name="Dziesiętny [0]_Invoices2001Slovakia_Book1_2" xfId="1077"/>
    <cellStyle name="Dziesietny [0]_Invoices2001Slovakia_Book1_2 2" xfId="1078"/>
    <cellStyle name="Dziesiętny [0]_Invoices2001Slovakia_Book1_2 2" xfId="1079"/>
    <cellStyle name="Dziesietny [0]_Invoices2001Slovakia_Book1_Nhu cau von ung truoc 2011 Tha h Hoa + Nge An gui TW" xfId="1080"/>
    <cellStyle name="Dziesiętny [0]_Invoices2001Slovakia_Book1_Nhu cau von ung truoc 2011 Tha h Hoa + Nge An gui TW" xfId="1081"/>
    <cellStyle name="Dziesietny [0]_Invoices2001Slovakia_Book1_Tong hop Cac tuyen(9-1-06)" xfId="1082"/>
    <cellStyle name="Dziesiętny [0]_Invoices2001Slovakia_Book1_Tong hop Cac tuyen(9-1-06)" xfId="1083"/>
    <cellStyle name="Dziesietny [0]_Invoices2001Slovakia_Book1_ung 2011 - 11-6-Thanh hoa-Nghe an" xfId="1084"/>
    <cellStyle name="Dziesiętny [0]_Invoices2001Slovakia_Book1_ung 2011 - 11-6-Thanh hoa-Nghe an" xfId="1085"/>
    <cellStyle name="Dziesietny [0]_Invoices2001Slovakia_Book1_ung truoc 2011 NSTW Thanh Hoa + Nge An gui Thu 12-5" xfId="1086"/>
    <cellStyle name="Dziesiętny [0]_Invoices2001Slovakia_Book1_ung truoc 2011 NSTW Thanh Hoa + Nge An gui Thu 12-5" xfId="1087"/>
    <cellStyle name="Dziesietny [0]_Invoices2001Slovakia_d-uong+TDT" xfId="1088"/>
    <cellStyle name="Dziesiętny [0]_Invoices2001Slovakia_Nhµ ®Ó xe" xfId="1089"/>
    <cellStyle name="Dziesietny [0]_Invoices2001Slovakia_Nha bao ve(28-7-05)" xfId="1090"/>
    <cellStyle name="Dziesiętny [0]_Invoices2001Slovakia_Nha bao ve(28-7-05)" xfId="1091"/>
    <cellStyle name="Dziesietny [0]_Invoices2001Slovakia_NHA de xe nguyen du" xfId="1092"/>
    <cellStyle name="Dziesiętny [0]_Invoices2001Slovakia_NHA de xe nguyen du" xfId="1093"/>
    <cellStyle name="Dziesietny [0]_Invoices2001Slovakia_Nhalamviec VTC(25-1-05)" xfId="1094"/>
    <cellStyle name="Dziesiętny [0]_Invoices2001Slovakia_Nhalamviec VTC(25-1-05)" xfId="1095"/>
    <cellStyle name="Dziesietny [0]_Invoices2001Slovakia_Nhu cau von ung truoc 2011 Tha h Hoa + Nge An gui TW" xfId="1096"/>
    <cellStyle name="Dziesiętny [0]_Invoices2001Slovakia_TDT KHANH HOA" xfId="1097"/>
    <cellStyle name="Dziesietny [0]_Invoices2001Slovakia_TDT KHANH HOA_Tong hop Cac tuyen(9-1-06)" xfId="1098"/>
    <cellStyle name="Dziesiętny [0]_Invoices2001Slovakia_TDT KHANH HOA_Tong hop Cac tuyen(9-1-06)" xfId="1099"/>
    <cellStyle name="Dziesietny [0]_Invoices2001Slovakia_TDT quangngai" xfId="1100"/>
    <cellStyle name="Dziesiętny [0]_Invoices2001Slovakia_TDT quangngai" xfId="1101"/>
    <cellStyle name="Dziesietny [0]_Invoices2001Slovakia_TMDT(10-5-06)" xfId="1102"/>
    <cellStyle name="Dziesietny_Invoices2001Slovakia" xfId="1103"/>
    <cellStyle name="Dziesiętny_Invoices2001Slovakia" xfId="1104"/>
    <cellStyle name="Dziesietny_Invoices2001Slovakia_01_Nha so 1_Dien" xfId="1105"/>
    <cellStyle name="Dziesiętny_Invoices2001Slovakia_01_Nha so 1_Dien" xfId="1106"/>
    <cellStyle name="Dziesietny_Invoices2001Slovakia_01_Nha so 1_Dien 2" xfId="1107"/>
    <cellStyle name="Dziesiętny_Invoices2001Slovakia_01_Nha so 1_Dien 2" xfId="1108"/>
    <cellStyle name="Dziesietny_Invoices2001Slovakia_10_Nha so 10_Dien1" xfId="1109"/>
    <cellStyle name="Dziesiętny_Invoices2001Slovakia_10_Nha so 10_Dien1" xfId="1110"/>
    <cellStyle name="Dziesietny_Invoices2001Slovakia_10_Nha so 10_Dien1 2" xfId="1111"/>
    <cellStyle name="Dziesiętny_Invoices2001Slovakia_10_Nha so 10_Dien1 2" xfId="1112"/>
    <cellStyle name="Dziesietny_Invoices2001Slovakia_Book1" xfId="1113"/>
    <cellStyle name="Dziesiętny_Invoices2001Slovakia_Book1" xfId="1114"/>
    <cellStyle name="Dziesietny_Invoices2001Slovakia_Book1_1" xfId="1115"/>
    <cellStyle name="Dziesiętny_Invoices2001Slovakia_Book1_1" xfId="1116"/>
    <cellStyle name="Dziesietny_Invoices2001Slovakia_Book1_1 2" xfId="1117"/>
    <cellStyle name="Dziesiętny_Invoices2001Slovakia_Book1_1 2" xfId="1118"/>
    <cellStyle name="Dziesietny_Invoices2001Slovakia_Book1_1_Book1" xfId="1119"/>
    <cellStyle name="Dziesiętny_Invoices2001Slovakia_Book1_1_Book1" xfId="1120"/>
    <cellStyle name="Dziesietny_Invoices2001Slovakia_Book1_1_Book1 2" xfId="1121"/>
    <cellStyle name="Dziesiętny_Invoices2001Slovakia_Book1_1_Book1 2" xfId="1122"/>
    <cellStyle name="Dziesietny_Invoices2001Slovakia_Book1_2" xfId="1123"/>
    <cellStyle name="Dziesiętny_Invoices2001Slovakia_Book1_2" xfId="1124"/>
    <cellStyle name="Dziesietny_Invoices2001Slovakia_Book1_2 2" xfId="1125"/>
    <cellStyle name="Dziesiętny_Invoices2001Slovakia_Book1_2 2" xfId="1126"/>
    <cellStyle name="Dziesietny_Invoices2001Slovakia_Book1_Nhu cau von ung truoc 2011 Tha h Hoa + Nge An gui TW" xfId="1127"/>
    <cellStyle name="Dziesiętny_Invoices2001Slovakia_Book1_Nhu cau von ung truoc 2011 Tha h Hoa + Nge An gui TW" xfId="1128"/>
    <cellStyle name="Dziesietny_Invoices2001Slovakia_Book1_Tong hop Cac tuyen(9-1-06)" xfId="1129"/>
    <cellStyle name="Dziesiętny_Invoices2001Slovakia_Book1_Tong hop Cac tuyen(9-1-06)" xfId="1130"/>
    <cellStyle name="Dziesietny_Invoices2001Slovakia_Book1_ung 2011 - 11-6-Thanh hoa-Nghe an" xfId="1131"/>
    <cellStyle name="Dziesiętny_Invoices2001Slovakia_Book1_ung 2011 - 11-6-Thanh hoa-Nghe an" xfId="1132"/>
    <cellStyle name="Dziesietny_Invoices2001Slovakia_Book1_ung truoc 2011 NSTW Thanh Hoa + Nge An gui Thu 12-5" xfId="1133"/>
    <cellStyle name="Dziesiętny_Invoices2001Slovakia_Book1_ung truoc 2011 NSTW Thanh Hoa + Nge An gui Thu 12-5" xfId="1134"/>
    <cellStyle name="Dziesietny_Invoices2001Slovakia_d-uong+TDT" xfId="1135"/>
    <cellStyle name="Dziesiętny_Invoices2001Slovakia_Nhµ ®Ó xe" xfId="1136"/>
    <cellStyle name="Dziesietny_Invoices2001Slovakia_Nha bao ve(28-7-05)" xfId="1137"/>
    <cellStyle name="Dziesiętny_Invoices2001Slovakia_Nha bao ve(28-7-05)" xfId="1138"/>
    <cellStyle name="Dziesietny_Invoices2001Slovakia_NHA de xe nguyen du" xfId="1139"/>
    <cellStyle name="Dziesiętny_Invoices2001Slovakia_NHA de xe nguyen du" xfId="1140"/>
    <cellStyle name="Dziesietny_Invoices2001Slovakia_Nhalamviec VTC(25-1-05)" xfId="1141"/>
    <cellStyle name="Dziesiętny_Invoices2001Slovakia_Nhalamviec VTC(25-1-05)" xfId="1142"/>
    <cellStyle name="Dziesietny_Invoices2001Slovakia_Nhu cau von ung truoc 2011 Tha h Hoa + Nge An gui TW" xfId="1143"/>
    <cellStyle name="Dziesiętny_Invoices2001Slovakia_TDT KHANH HOA" xfId="1144"/>
    <cellStyle name="Dziesietny_Invoices2001Slovakia_TDT KHANH HOA_Tong hop Cac tuyen(9-1-06)" xfId="1145"/>
    <cellStyle name="Dziesiętny_Invoices2001Slovakia_TDT KHANH HOA_Tong hop Cac tuyen(9-1-06)" xfId="1146"/>
    <cellStyle name="Dziesietny_Invoices2001Slovakia_TDT quangngai" xfId="1147"/>
    <cellStyle name="Dziesiętny_Invoices2001Slovakia_TDT quangngai" xfId="1148"/>
    <cellStyle name="Dziesietny_Invoices2001Slovakia_TMDT(10-5-06)" xfId="1149"/>
    <cellStyle name="e" xfId="1156"/>
    <cellStyle name="Encabez1" xfId="1157"/>
    <cellStyle name="Encabez2" xfId="1158"/>
    <cellStyle name="Enter Currency (0)" xfId="1159"/>
    <cellStyle name="Enter Currency (2)" xfId="1160"/>
    <cellStyle name="Enter Units (0)" xfId="1161"/>
    <cellStyle name="Enter Units (1)" xfId="1162"/>
    <cellStyle name="Enter Units (2)" xfId="1163"/>
    <cellStyle name="Entered" xfId="1164"/>
    <cellStyle name="En-tete1" xfId="1165"/>
    <cellStyle name="En-tete2" xfId="1166"/>
    <cellStyle name="Euro" xfId="1167"/>
    <cellStyle name="Euro 2" xfId="1168"/>
    <cellStyle name="Excel Built-in Normal" xfId="1169"/>
    <cellStyle name="Explanatory Text 2" xfId="1170"/>
    <cellStyle name="f" xfId="1171"/>
    <cellStyle name="F2" xfId="1172"/>
    <cellStyle name="F3" xfId="1173"/>
    <cellStyle name="F4" xfId="1174"/>
    <cellStyle name="F5" xfId="1175"/>
    <cellStyle name="F6" xfId="1176"/>
    <cellStyle name="F7" xfId="1177"/>
    <cellStyle name="F8" xfId="1178"/>
    <cellStyle name="Fijo" xfId="1179"/>
    <cellStyle name="Financier" xfId="1180"/>
    <cellStyle name="Financiero" xfId="1181"/>
    <cellStyle name="Fixe" xfId="1182"/>
    <cellStyle name="Fixe 2" xfId="1183"/>
    <cellStyle name="Fixed" xfId="1184"/>
    <cellStyle name="Font Britannic16" xfId="1185"/>
    <cellStyle name="Font Britannic18" xfId="1186"/>
    <cellStyle name="Font CenturyCond 18" xfId="1187"/>
    <cellStyle name="Font Cond20" xfId="1188"/>
    <cellStyle name="Font LucidaSans16" xfId="1189"/>
    <cellStyle name="Font NewCenturyCond18" xfId="1190"/>
    <cellStyle name="Font Ottawa14" xfId="1191"/>
    <cellStyle name="Font Ottawa16" xfId="1192"/>
    <cellStyle name="Formulas" xfId="1193"/>
    <cellStyle name="Ghi chú" xfId="1194"/>
    <cellStyle name="Ghi chú 2" xfId="1195"/>
    <cellStyle name="gia" xfId="1199"/>
    <cellStyle name="Good 2" xfId="1196"/>
    <cellStyle name="Grey" xfId="1197"/>
    <cellStyle name="Group" xfId="1198"/>
    <cellStyle name="H" xfId="1200"/>
    <cellStyle name="ha" xfId="1201"/>
    <cellStyle name="HAI" xfId="1202"/>
    <cellStyle name="Head 1" xfId="1203"/>
    <cellStyle name="HEADER" xfId="1204"/>
    <cellStyle name="Header1" xfId="1205"/>
    <cellStyle name="Header2" xfId="1206"/>
    <cellStyle name="Heading 1 2" xfId="1207"/>
    <cellStyle name="Heading 2 2" xfId="1208"/>
    <cellStyle name="Heading 3 2" xfId="1209"/>
    <cellStyle name="Heading 4 2" xfId="1210"/>
    <cellStyle name="HEADING1" xfId="1211"/>
    <cellStyle name="HEADING2" xfId="1212"/>
    <cellStyle name="HEADINGS" xfId="1213"/>
    <cellStyle name="HEADINGSTOP" xfId="1214"/>
    <cellStyle name="headoption" xfId="1215"/>
    <cellStyle name="hoa" xfId="1216"/>
    <cellStyle name="Hoa-Scholl" xfId="1217"/>
    <cellStyle name="HUY" xfId="1218"/>
    <cellStyle name="Hyperlink" xfId="1219" builtinId="8"/>
    <cellStyle name="i phÝ kh¸c_B¶ng 2" xfId="1220"/>
    <cellStyle name="I.3" xfId="1221"/>
    <cellStyle name="I.3 2" xfId="1222"/>
    <cellStyle name="i·0" xfId="1223"/>
    <cellStyle name="ï-¾È»ê_BiÓu TB" xfId="1224"/>
    <cellStyle name="Input [yellow]" xfId="1225"/>
    <cellStyle name="Input 2" xfId="1226"/>
    <cellStyle name="k" xfId="1227"/>
    <cellStyle name="k_TONG HOP KINH PHI" xfId="1228"/>
    <cellStyle name="k_ÿÿÿÿÿ" xfId="1229"/>
    <cellStyle name="k_ÿÿÿÿÿ_1" xfId="1230"/>
    <cellStyle name="k_ÿÿÿÿÿ_2" xfId="1231"/>
    <cellStyle name="kh¸c_Bang Chi tieu" xfId="1234"/>
    <cellStyle name="khanh" xfId="1235"/>
    <cellStyle name="khoa2" xfId="1236"/>
    <cellStyle name="khung" xfId="1237"/>
    <cellStyle name="khung 2" xfId="1238"/>
    <cellStyle name="Kiểm tra Ô" xfId="1232"/>
    <cellStyle name="KL" xfId="1233"/>
    <cellStyle name="LAS - XD 354" xfId="1239"/>
    <cellStyle name="LAS - XD 354 2" xfId="1240"/>
    <cellStyle name="Ledger 17 x 11 in" xfId="1241"/>
    <cellStyle name="Ledger 17 x 11 in 2" xfId="1242"/>
    <cellStyle name="Ledger 17 x 11 in 3" xfId="1243"/>
    <cellStyle name="Ledger 17 x 11 in_bieu 1" xfId="1244"/>
    <cellStyle name="left" xfId="1245"/>
    <cellStyle name="Line" xfId="1246"/>
    <cellStyle name="Link Currency (0)" xfId="1247"/>
    <cellStyle name="Link Currency (2)" xfId="1248"/>
    <cellStyle name="Link Units (0)" xfId="1249"/>
    <cellStyle name="Link Units (1)" xfId="1250"/>
    <cellStyle name="Link Units (2)" xfId="1251"/>
    <cellStyle name="Linked Cell 2" xfId="1252"/>
    <cellStyle name="MAU" xfId="1253"/>
    <cellStyle name="Migliaia (0)_CALPREZZ" xfId="1254"/>
    <cellStyle name="Migliaia_ PESO ELETTR." xfId="1255"/>
    <cellStyle name="Millares [0]_10 AVERIAS MASIVAS + ANT" xfId="1256"/>
    <cellStyle name="Millares_Well Timing" xfId="1257"/>
    <cellStyle name="Milliers [0]_      " xfId="1258"/>
    <cellStyle name="Milliers_      " xfId="1259"/>
    <cellStyle name="Model" xfId="1260"/>
    <cellStyle name="moi" xfId="1261"/>
    <cellStyle name="Moneda [0]_Well Timing" xfId="1262"/>
    <cellStyle name="Moneda_Well Timing" xfId="1263"/>
    <cellStyle name="Monetaire" xfId="1264"/>
    <cellStyle name="Monétaire [0]_      " xfId="1265"/>
    <cellStyle name="Monétaire_      " xfId="1266"/>
    <cellStyle name="n" xfId="1267"/>
    <cellStyle name="n_17 bieu (hung cap nhap)" xfId="1268"/>
    <cellStyle name="n_Bao cao doan cong tac cua Bo thang 4-2010" xfId="1269"/>
    <cellStyle name="n_goi 4 - qt" xfId="1270"/>
    <cellStyle name="n_VBPL kiểm toán Đầu tư XDCB 2010" xfId="1271"/>
    <cellStyle name="Neutral 2" xfId="1272"/>
    <cellStyle name="New" xfId="1273"/>
    <cellStyle name="New 2" xfId="1274"/>
    <cellStyle name="New Times Roman" xfId="1275"/>
    <cellStyle name="New Times Roman 2" xfId="1276"/>
    <cellStyle name="nga" xfId="1364"/>
    <cellStyle name="nga 2" xfId="1365"/>
    <cellStyle name="Nhấn1" xfId="1366"/>
    <cellStyle name="Nhấn2" xfId="1367"/>
    <cellStyle name="Nhấn3" xfId="1368"/>
    <cellStyle name="Nhấn4" xfId="1369"/>
    <cellStyle name="Nhấn5" xfId="1370"/>
    <cellStyle name="Nhấn6" xfId="1371"/>
    <cellStyle name="no dec" xfId="1277"/>
    <cellStyle name="ÑONVÒ" xfId="1278"/>
    <cellStyle name="Normal" xfId="0" builtinId="0"/>
    <cellStyle name="Normal - ??1" xfId="1279"/>
    <cellStyle name="Normal - Style1" xfId="1280"/>
    <cellStyle name="Normal - Style1 2" xfId="1281"/>
    <cellStyle name="Normal - Style1 2 2" xfId="1282"/>
    <cellStyle name="Normal - Style1 2 3" xfId="1283"/>
    <cellStyle name="Normal - Style1 2 4" xfId="1284"/>
    <cellStyle name="Normal - Style1 2_Khoi cong moi 1" xfId="1285"/>
    <cellStyle name="Normal - Style1 3" xfId="1286"/>
    <cellStyle name="Normal - Style1 4" xfId="1287"/>
    <cellStyle name="Normal - Style1_Bao cao kiem toan kh 2010" xfId="1288"/>
    <cellStyle name="Normal - 유형1" xfId="1289"/>
    <cellStyle name="Normal 10" xfId="1290"/>
    <cellStyle name="Normal 10 2 2" xfId="1291"/>
    <cellStyle name="Normal 10 3" xfId="1292"/>
    <cellStyle name="Normal 11" xfId="1293"/>
    <cellStyle name="Normal 11 3" xfId="1294"/>
    <cellStyle name="Normal 12" xfId="1295"/>
    <cellStyle name="Normal 12 2" xfId="1296"/>
    <cellStyle name="Normal 13" xfId="1297"/>
    <cellStyle name="Normal 13 2" xfId="1298"/>
    <cellStyle name="Normal 14 2" xfId="1299"/>
    <cellStyle name="Normal 15" xfId="1300"/>
    <cellStyle name="Normal 16 2" xfId="1301"/>
    <cellStyle name="Normal 17" xfId="1302"/>
    <cellStyle name="Normal 19" xfId="1303"/>
    <cellStyle name="Normal 2" xfId="1304"/>
    <cellStyle name="Normal 2 2" xfId="1305"/>
    <cellStyle name="Normal 2 2 2" xfId="1306"/>
    <cellStyle name="Normal 2 2 2 2" xfId="1307"/>
    <cellStyle name="Normal 2 3" xfId="1308"/>
    <cellStyle name="Normal 2 3 2" xfId="1309"/>
    <cellStyle name="Normal 2 4" xfId="1310"/>
    <cellStyle name="Normal 2 5" xfId="1311"/>
    <cellStyle name="Normal 2 6" xfId="1312"/>
    <cellStyle name="Normal 2 6 2" xfId="1313"/>
    <cellStyle name="Normal 2 7 3" xfId="1314"/>
    <cellStyle name="Normal 2_160507 Bieu mau NSDP ND sua ND73" xfId="1315"/>
    <cellStyle name="Normal 20" xfId="1316"/>
    <cellStyle name="Normal 22" xfId="1317"/>
    <cellStyle name="Normal 22 2 2" xfId="1318"/>
    <cellStyle name="Normal 23" xfId="1319"/>
    <cellStyle name="Normal 23 2" xfId="1320"/>
    <cellStyle name="Normal 24" xfId="1321"/>
    <cellStyle name="Normal 25" xfId="1322"/>
    <cellStyle name="Normal 26" xfId="1323"/>
    <cellStyle name="Normal 27" xfId="1324"/>
    <cellStyle name="Normal 28" xfId="1325"/>
    <cellStyle name="Normal 29" xfId="1326"/>
    <cellStyle name="Normal 3" xfId="1327"/>
    <cellStyle name="Normal 3 2" xfId="1328"/>
    <cellStyle name="Normal 3 2 4" xfId="1329"/>
    <cellStyle name="Normal 3 3" xfId="1330"/>
    <cellStyle name="Normal 3 4" xfId="1331"/>
    <cellStyle name="Normal 3_17 bieu (hung cap nhap)" xfId="1332"/>
    <cellStyle name="Normal 30" xfId="1333"/>
    <cellStyle name="Normal 31" xfId="1334"/>
    <cellStyle name="Normal 32" xfId="1335"/>
    <cellStyle name="Normal 4" xfId="1336"/>
    <cellStyle name="Normal 4 2" xfId="1337"/>
    <cellStyle name="Normal 4_160513 Bieu mau NSDP ND sua ND73" xfId="1338"/>
    <cellStyle name="Normal 43" xfId="1339"/>
    <cellStyle name="Normal 5" xfId="1340"/>
    <cellStyle name="Normal 5 2" xfId="1341"/>
    <cellStyle name="Normal 5 2 3" xfId="1342"/>
    <cellStyle name="Normal 5 3" xfId="1343"/>
    <cellStyle name="Normal 5_VBPL kiểm toán Đầu tư XDCB 2010" xfId="1344"/>
    <cellStyle name="Normal 6" xfId="1345"/>
    <cellStyle name="Normal 6 2" xfId="1346"/>
    <cellStyle name="Normal 6 3 2" xfId="1347"/>
    <cellStyle name="Normal 6 4" xfId="1348"/>
    <cellStyle name="Normal 6_Bieu mau KH 2011 (gui Vu DP)" xfId="1349"/>
    <cellStyle name="Normal 7" xfId="1350"/>
    <cellStyle name="Normal 7 2" xfId="1351"/>
    <cellStyle name="Normal 8" xfId="1352"/>
    <cellStyle name="Normal 9" xfId="1353"/>
    <cellStyle name="Normal 9 2" xfId="1354"/>
    <cellStyle name="Normal 9 3" xfId="1355"/>
    <cellStyle name="Normal 9_BieuHD2016-2020Tquang2(OK)" xfId="1356"/>
    <cellStyle name="Normal1" xfId="1357"/>
    <cellStyle name="Normal8" xfId="1358"/>
    <cellStyle name="NORMAL-ADB" xfId="1359"/>
    <cellStyle name="Normale_ PESO ELETTR." xfId="1360"/>
    <cellStyle name="Normalny_Cennik obowiazuje od 06-08-2001 r (1)" xfId="1361"/>
    <cellStyle name="Note 2" xfId="1362"/>
    <cellStyle name="NWM" xfId="1363"/>
    <cellStyle name="Ô Được nối kết" xfId="1384"/>
    <cellStyle name="Ò_x000d_Normal_123569" xfId="1372"/>
    <cellStyle name="Œ…‹æØ‚è [0.00]_††††† " xfId="1373"/>
    <cellStyle name="Œ…‹æØ‚è_††††† " xfId="1374"/>
    <cellStyle name="oft Excel]_x000d__x000a_Comment=open=/f ‚ðw’è‚·‚é‚ÆAƒ†[ƒU[’è‹`ŠÖ”‚ðŠÖ”“\‚è•t‚¯‚Ìˆê——‚É“o˜^‚·‚é‚±‚Æ‚ª‚Å‚«‚Ü‚·B_x000d__x000a_Maximized" xfId="1375"/>
    <cellStyle name="oft Excel]_x000d__x000a_Comment=open=/f ‚ðŽw’è‚·‚é‚ÆAƒ†[ƒU[’è‹`ŠÖ”‚ðŠÖ”“\‚è•t‚¯‚Ìˆê——‚É“o˜^‚·‚é‚±‚Æ‚ª‚Å‚«‚Ü‚·B_x000d__x000a_Maximized" xfId="1376"/>
    <cellStyle name="oft Excel]_x000d__x000a_Comment=open=/f ‚ðŽw’è‚·‚é‚ÆAƒ†[ƒU[’è‹`ŠÖ”‚ðŠÖ”“\‚è•t‚¯‚Ìˆê——‚É“o˜^‚·‚é‚±‚Æ‚ª‚Å‚«‚Ü‚·B_x000d__x000a_Maximized 2" xfId="1377"/>
    <cellStyle name="oft Excel]_x000d__x000a_Comment=The open=/f lines load custom functions into the Paste Function list._x000d__x000a_Maximized=2_x000d__x000a_Basics=1_x000d__x000a_A" xfId="1378"/>
    <cellStyle name="oft Excel]_x000d__x000a_Comment=The open=/f lines load custom functions into the Paste Function list._x000d__x000a_Maximized=3_x000d__x000a_Basics=1_x000d__x000a_A" xfId="1379"/>
    <cellStyle name="oft Excel]_x000d__x000a_Comment=The open=/f lines load custom functions into the Paste Function list._x000d__x000a_Maximized=3_x000d__x000a_Basics=1_x000d__x000a_A 2" xfId="1380"/>
    <cellStyle name="omma [0]_Mktg Prog" xfId="1381"/>
    <cellStyle name="ormal_Sheet1_1" xfId="1382"/>
    <cellStyle name="Output 2" xfId="1383"/>
    <cellStyle name="p" xfId="1385"/>
    <cellStyle name="paint" xfId="1386"/>
    <cellStyle name="Pattern" xfId="1387"/>
    <cellStyle name="Pattern 2" xfId="1388"/>
    <cellStyle name="per.style" xfId="1389"/>
    <cellStyle name="per.style 2" xfId="1390"/>
    <cellStyle name="Percent" xfId="1391" builtinId="5"/>
    <cellStyle name="Percent [0]" xfId="1392"/>
    <cellStyle name="Percent [0] 2" xfId="1393"/>
    <cellStyle name="Percent [00]" xfId="1394"/>
    <cellStyle name="Percent [00] 2" xfId="1395"/>
    <cellStyle name="Percent [2]" xfId="1396"/>
    <cellStyle name="Percent [2] 2" xfId="1397"/>
    <cellStyle name="Percent 10" xfId="1398"/>
    <cellStyle name="Percent 2" xfId="1399"/>
    <cellStyle name="Percent 3" xfId="1400"/>
    <cellStyle name="Percent 6 2" xfId="1401"/>
    <cellStyle name="PERCENTAGE" xfId="1402"/>
    <cellStyle name="PHONG" xfId="1413"/>
    <cellStyle name="Pourcentage" xfId="1403"/>
    <cellStyle name="PrePop Currency (0)" xfId="1404"/>
    <cellStyle name="PrePop Currency (2)" xfId="1405"/>
    <cellStyle name="PrePop Units (0)" xfId="1406"/>
    <cellStyle name="PrePop Units (1)" xfId="1407"/>
    <cellStyle name="PrePop Units (2)" xfId="1408"/>
    <cellStyle name="pricing" xfId="1409"/>
    <cellStyle name="PSChar" xfId="1410"/>
    <cellStyle name="PSChar 2" xfId="1411"/>
    <cellStyle name="PSHeading" xfId="1412"/>
    <cellStyle name="regstoresfromspecstores" xfId="1414"/>
    <cellStyle name="RevList" xfId="1415"/>
    <cellStyle name="rlink_tiªn l­în_x001b_Hyperlink_TONG HOP KINH PHI" xfId="1416"/>
    <cellStyle name="rmal_ADAdot" xfId="1417"/>
    <cellStyle name="S—_x0008_" xfId="1418"/>
    <cellStyle name="s]_x000d__x000a_spooler=yes_x000d__x000a_load=_x000d__x000a_Beep=yes_x000d__x000a_NullPort=None_x000d__x000a_BorderWidth=3_x000d__x000a_CursorBlinkRate=1200_x000d__x000a_DoubleClickSpeed=452_x000d__x000a_Programs=co" xfId="1419"/>
    <cellStyle name="s]_x000d__x000a_spooler=yes_x000d__x000a_load=_x000d__x000a_Beep=yes_x000d__x000a_NullPort=None_x000d__x000a_BorderWidth=3_x000d__x000a_CursorBlinkRate=1200_x000d__x000a_DoubleClickSpeed=452_x000d__x000a_Programs=co 2" xfId="1420"/>
    <cellStyle name="SAPBEXaggData" xfId="1421"/>
    <cellStyle name="SAPBEXaggDataEmph" xfId="1422"/>
    <cellStyle name="SAPBEXaggItem" xfId="1423"/>
    <cellStyle name="SAPBEXchaText" xfId="1424"/>
    <cellStyle name="SAPBEXexcBad7" xfId="1425"/>
    <cellStyle name="SAPBEXexcBad8" xfId="1426"/>
    <cellStyle name="SAPBEXexcBad9" xfId="1427"/>
    <cellStyle name="SAPBEXexcCritical4" xfId="1428"/>
    <cellStyle name="SAPBEXexcCritical5" xfId="1429"/>
    <cellStyle name="SAPBEXexcCritical6" xfId="1430"/>
    <cellStyle name="SAPBEXexcGood1" xfId="1431"/>
    <cellStyle name="SAPBEXexcGood2" xfId="1432"/>
    <cellStyle name="SAPBEXexcGood3" xfId="1433"/>
    <cellStyle name="SAPBEXfilterDrill" xfId="1434"/>
    <cellStyle name="SAPBEXfilterItem" xfId="1435"/>
    <cellStyle name="SAPBEXfilterText" xfId="1436"/>
    <cellStyle name="SAPBEXformats" xfId="1437"/>
    <cellStyle name="SAPBEXheaderItem" xfId="1438"/>
    <cellStyle name="SAPBEXheaderItem 2" xfId="1439"/>
    <cellStyle name="SAPBEXheaderText" xfId="1440"/>
    <cellStyle name="SAPBEXheaderText 2" xfId="1441"/>
    <cellStyle name="SAPBEXresData" xfId="1442"/>
    <cellStyle name="SAPBEXresDataEmph" xfId="1443"/>
    <cellStyle name="SAPBEXresItem" xfId="1444"/>
    <cellStyle name="SAPBEXstdData" xfId="1445"/>
    <cellStyle name="SAPBEXstdDataEmph" xfId="1446"/>
    <cellStyle name="SAPBEXstdItem" xfId="1447"/>
    <cellStyle name="SAPBEXtitle" xfId="1448"/>
    <cellStyle name="SAPBEXundefined" xfId="1449"/>
    <cellStyle name="serJet 1200 Series PCL 6" xfId="1450"/>
    <cellStyle name="SHADEDSTORES" xfId="1451"/>
    <cellStyle name="so" xfId="1452"/>
    <cellStyle name="SO%" xfId="1453"/>
    <cellStyle name="so_Book1" xfId="1454"/>
    <cellStyle name="songuyen" xfId="1455"/>
    <cellStyle name="specstores" xfId="1456"/>
    <cellStyle name="Standard" xfId="1457"/>
    <cellStyle name="STT" xfId="1458"/>
    <cellStyle name="STT 2" xfId="1459"/>
    <cellStyle name="STTDG" xfId="1460"/>
    <cellStyle name="style" xfId="1461"/>
    <cellStyle name="Style 1" xfId="1462"/>
    <cellStyle name="Style 10" xfId="1463"/>
    <cellStyle name="Style 10 2" xfId="1464"/>
    <cellStyle name="Style 100" xfId="1465"/>
    <cellStyle name="Style 101" xfId="1466"/>
    <cellStyle name="Style 102" xfId="1467"/>
    <cellStyle name="Style 103" xfId="1468"/>
    <cellStyle name="Style 104" xfId="1469"/>
    <cellStyle name="Style 105" xfId="1470"/>
    <cellStyle name="Style 106" xfId="1471"/>
    <cellStyle name="Style 107" xfId="1472"/>
    <cellStyle name="Style 108" xfId="1473"/>
    <cellStyle name="Style 109" xfId="1474"/>
    <cellStyle name="Style 11" xfId="1475"/>
    <cellStyle name="Style 11 2" xfId="1476"/>
    <cellStyle name="Style 110" xfId="1477"/>
    <cellStyle name="Style 111" xfId="1478"/>
    <cellStyle name="Style 112" xfId="1479"/>
    <cellStyle name="Style 113" xfId="1480"/>
    <cellStyle name="Style 114" xfId="1481"/>
    <cellStyle name="Style 115" xfId="1482"/>
    <cellStyle name="Style 116" xfId="1483"/>
    <cellStyle name="Style 117" xfId="1484"/>
    <cellStyle name="Style 118" xfId="1485"/>
    <cellStyle name="Style 118 2" xfId="1486"/>
    <cellStyle name="Style 119" xfId="1487"/>
    <cellStyle name="Style 12" xfId="1488"/>
    <cellStyle name="Style 12 2" xfId="1489"/>
    <cellStyle name="Style 120" xfId="1490"/>
    <cellStyle name="Style 121" xfId="1491"/>
    <cellStyle name="Style 122" xfId="1492"/>
    <cellStyle name="Style 123" xfId="1493"/>
    <cellStyle name="Style 124" xfId="1494"/>
    <cellStyle name="Style 125" xfId="1495"/>
    <cellStyle name="Style 126" xfId="1496"/>
    <cellStyle name="Style 127" xfId="1497"/>
    <cellStyle name="Style 128" xfId="1498"/>
    <cellStyle name="Style 129" xfId="1499"/>
    <cellStyle name="Style 13" xfId="1500"/>
    <cellStyle name="Style 13 2" xfId="1501"/>
    <cellStyle name="Style 130" xfId="1502"/>
    <cellStyle name="Style 131" xfId="1503"/>
    <cellStyle name="Style 132" xfId="1504"/>
    <cellStyle name="Style 133" xfId="1505"/>
    <cellStyle name="Style 134" xfId="1506"/>
    <cellStyle name="Style 135" xfId="1507"/>
    <cellStyle name="Style 136" xfId="1508"/>
    <cellStyle name="Style 137" xfId="1509"/>
    <cellStyle name="Style 138" xfId="1510"/>
    <cellStyle name="Style 139" xfId="1511"/>
    <cellStyle name="Style 14" xfId="1512"/>
    <cellStyle name="Style 14 2" xfId="1513"/>
    <cellStyle name="Style 140" xfId="1514"/>
    <cellStyle name="Style 141" xfId="1515"/>
    <cellStyle name="Style 142" xfId="1516"/>
    <cellStyle name="Style 143" xfId="1517"/>
    <cellStyle name="Style 144" xfId="1518"/>
    <cellStyle name="Style 145" xfId="1519"/>
    <cellStyle name="Style 146" xfId="1520"/>
    <cellStyle name="Style 147" xfId="1521"/>
    <cellStyle name="Style 148" xfId="1522"/>
    <cellStyle name="Style 149" xfId="1523"/>
    <cellStyle name="Style 15" xfId="1524"/>
    <cellStyle name="Style 15 2" xfId="1525"/>
    <cellStyle name="Style 150" xfId="1526"/>
    <cellStyle name="Style 151" xfId="1527"/>
    <cellStyle name="Style 152" xfId="1528"/>
    <cellStyle name="Style 153" xfId="1529"/>
    <cellStyle name="Style 154" xfId="1530"/>
    <cellStyle name="Style 155" xfId="1531"/>
    <cellStyle name="Style 155 2" xfId="1532"/>
    <cellStyle name="Style 156" xfId="1533"/>
    <cellStyle name="Style 157" xfId="1534"/>
    <cellStyle name="Style 158" xfId="1535"/>
    <cellStyle name="Style 159" xfId="1536"/>
    <cellStyle name="Style 16" xfId="1537"/>
    <cellStyle name="Style 160" xfId="1538"/>
    <cellStyle name="Style 161" xfId="1539"/>
    <cellStyle name="Style 162" xfId="1540"/>
    <cellStyle name="Style 163" xfId="1541"/>
    <cellStyle name="Style 17" xfId="1542"/>
    <cellStyle name="Style 18" xfId="1543"/>
    <cellStyle name="Style 19" xfId="1544"/>
    <cellStyle name="Style 2" xfId="1545"/>
    <cellStyle name="Style 2 2" xfId="1546"/>
    <cellStyle name="Style 20" xfId="1547"/>
    <cellStyle name="Style 21" xfId="1548"/>
    <cellStyle name="Style 22" xfId="1549"/>
    <cellStyle name="Style 23" xfId="1550"/>
    <cellStyle name="Style 24" xfId="1551"/>
    <cellStyle name="Style 25" xfId="1552"/>
    <cellStyle name="Style 26" xfId="1553"/>
    <cellStyle name="Style 27" xfId="1554"/>
    <cellStyle name="Style 28" xfId="1555"/>
    <cellStyle name="Style 29" xfId="1556"/>
    <cellStyle name="Style 3" xfId="1557"/>
    <cellStyle name="Style 30" xfId="1558"/>
    <cellStyle name="Style 31" xfId="1559"/>
    <cellStyle name="Style 32" xfId="1560"/>
    <cellStyle name="Style 33" xfId="1561"/>
    <cellStyle name="Style 34" xfId="1562"/>
    <cellStyle name="Style 35" xfId="1563"/>
    <cellStyle name="Style 36" xfId="1564"/>
    <cellStyle name="Style 37" xfId="1565"/>
    <cellStyle name="Style 38" xfId="1566"/>
    <cellStyle name="Style 39" xfId="1567"/>
    <cellStyle name="Style 4" xfId="1568"/>
    <cellStyle name="Style 40" xfId="1569"/>
    <cellStyle name="Style 41" xfId="1570"/>
    <cellStyle name="Style 42" xfId="1571"/>
    <cellStyle name="Style 43" xfId="1572"/>
    <cellStyle name="Style 44" xfId="1573"/>
    <cellStyle name="Style 45" xfId="1574"/>
    <cellStyle name="Style 46" xfId="1575"/>
    <cellStyle name="Style 47" xfId="1576"/>
    <cellStyle name="Style 48" xfId="1577"/>
    <cellStyle name="Style 49" xfId="1578"/>
    <cellStyle name="Style 5" xfId="1579"/>
    <cellStyle name="Style 50" xfId="1580"/>
    <cellStyle name="Style 51" xfId="1581"/>
    <cellStyle name="Style 51 2" xfId="1582"/>
    <cellStyle name="Style 52" xfId="1583"/>
    <cellStyle name="Style 53" xfId="1584"/>
    <cellStyle name="Style 54" xfId="1585"/>
    <cellStyle name="Style 55" xfId="1586"/>
    <cellStyle name="Style 56" xfId="1587"/>
    <cellStyle name="Style 57" xfId="1588"/>
    <cellStyle name="Style 58" xfId="1589"/>
    <cellStyle name="Style 59" xfId="1590"/>
    <cellStyle name="Style 6" xfId="1591"/>
    <cellStyle name="Style 60" xfId="1592"/>
    <cellStyle name="Style 61" xfId="1593"/>
    <cellStyle name="Style 62" xfId="1594"/>
    <cellStyle name="Style 63" xfId="1595"/>
    <cellStyle name="Style 63 2" xfId="1596"/>
    <cellStyle name="Style 64" xfId="1597"/>
    <cellStyle name="Style 64 2" xfId="1598"/>
    <cellStyle name="Style 65" xfId="1599"/>
    <cellStyle name="Style 65 2" xfId="1600"/>
    <cellStyle name="Style 66" xfId="1601"/>
    <cellStyle name="Style 66 2" xfId="1602"/>
    <cellStyle name="Style 67" xfId="1603"/>
    <cellStyle name="Style 67 2" xfId="1604"/>
    <cellStyle name="Style 68" xfId="1605"/>
    <cellStyle name="Style 68 2" xfId="1606"/>
    <cellStyle name="Style 69" xfId="1607"/>
    <cellStyle name="Style 7" xfId="1608"/>
    <cellStyle name="Style 70" xfId="1609"/>
    <cellStyle name="Style 71" xfId="1610"/>
    <cellStyle name="Style 72" xfId="1611"/>
    <cellStyle name="Style 73" xfId="1612"/>
    <cellStyle name="Style 74" xfId="1613"/>
    <cellStyle name="Style 75" xfId="1614"/>
    <cellStyle name="Style 76" xfId="1615"/>
    <cellStyle name="Style 77" xfId="1616"/>
    <cellStyle name="Style 78" xfId="1617"/>
    <cellStyle name="Style 79" xfId="1618"/>
    <cellStyle name="Style 8" xfId="1619"/>
    <cellStyle name="Style 80" xfId="1620"/>
    <cellStyle name="Style 81" xfId="1621"/>
    <cellStyle name="Style 82" xfId="1622"/>
    <cellStyle name="Style 83" xfId="1623"/>
    <cellStyle name="Style 84" xfId="1624"/>
    <cellStyle name="Style 85" xfId="1625"/>
    <cellStyle name="Style 86" xfId="1626"/>
    <cellStyle name="Style 87" xfId="1627"/>
    <cellStyle name="Style 88" xfId="1628"/>
    <cellStyle name="Style 89" xfId="1629"/>
    <cellStyle name="Style 9" xfId="1630"/>
    <cellStyle name="Style 90" xfId="1631"/>
    <cellStyle name="Style 91" xfId="1632"/>
    <cellStyle name="Style 92" xfId="1633"/>
    <cellStyle name="Style 93" xfId="1634"/>
    <cellStyle name="Style 94" xfId="1635"/>
    <cellStyle name="Style 95" xfId="1636"/>
    <cellStyle name="Style 96" xfId="1637"/>
    <cellStyle name="Style 97" xfId="1638"/>
    <cellStyle name="Style 98" xfId="1639"/>
    <cellStyle name="Style 99" xfId="1640"/>
    <cellStyle name="Style Date" xfId="1641"/>
    <cellStyle name="style_1" xfId="1642"/>
    <cellStyle name="subhead" xfId="1643"/>
    <cellStyle name="Subtotal" xfId="1644"/>
    <cellStyle name="symbol" xfId="1645"/>
    <cellStyle name="T" xfId="1646"/>
    <cellStyle name="T_50-BB Vung tau 2011" xfId="1647"/>
    <cellStyle name="T_50-BB Vung tau 2011_120907 Thu tang them 4500" xfId="1648"/>
    <cellStyle name="T_50-BB Vung tau 2011_27-8Tong hop PA uoc 2012-DT 2013 -PA 420.000 ty-490.000 ty chuyen doi" xfId="1649"/>
    <cellStyle name="T_BANG LUONG MOI KSDH va KSDC (co phu cap khu vuc)" xfId="1650"/>
    <cellStyle name="T_bao cao" xfId="1651"/>
    <cellStyle name="T_Bao cao so lieu kiem toan nam 2007 sua" xfId="1652"/>
    <cellStyle name="T_Bao cao so lieu kiem toan nam 2007 sua 2" xfId="1653"/>
    <cellStyle name="T_BBTNG-06" xfId="1654"/>
    <cellStyle name="T_BC CTMT-2008 Ttinh" xfId="1655"/>
    <cellStyle name="T_BC CTMT-2008 Ttinh 2" xfId="1656"/>
    <cellStyle name="T_BC CTMT-2008 Ttinh_bieu tong hop" xfId="1657"/>
    <cellStyle name="T_BC CTMT-2008 Ttinh_Tong hop ra soat von ung 2011 -Chau" xfId="1658"/>
    <cellStyle name="T_BC CTMT-2008 Ttinh_Tong hop -Yte-Giao thong-Thuy loi-24-6" xfId="1659"/>
    <cellStyle name="T_Bc_tuan_1_CKy_6_KONTUM" xfId="1660"/>
    <cellStyle name="T_Bc_tuan_1_CKy_6_KONTUM 2" xfId="1661"/>
    <cellStyle name="T_Bc_tuan_1_CKy_6_KONTUM_Book1" xfId="1662"/>
    <cellStyle name="T_Bc_tuan_1_CKy_6_KONTUM_Book1 2" xfId="1663"/>
    <cellStyle name="T_bieu 1" xfId="1664"/>
    <cellStyle name="T_bieu 2" xfId="1665"/>
    <cellStyle name="T_bieu 4" xfId="1666"/>
    <cellStyle name="T_Bieu mau danh muc du an thuoc CTMTQG nam 2008" xfId="1667"/>
    <cellStyle name="T_Bieu mau danh muc du an thuoc CTMTQG nam 2008 2" xfId="1668"/>
    <cellStyle name="T_Bieu mau danh muc du an thuoc CTMTQG nam 2008_bieu tong hop" xfId="1669"/>
    <cellStyle name="T_Bieu mau danh muc du an thuoc CTMTQG nam 2008_Tong hop ra soat von ung 2011 -Chau" xfId="1670"/>
    <cellStyle name="T_Bieu mau danh muc du an thuoc CTMTQG nam 2008_Tong hop -Yte-Giao thong-Thuy loi-24-6" xfId="1671"/>
    <cellStyle name="T_Bieu tong hop nhu cau ung 2011 da chon loc -Mien nui" xfId="1672"/>
    <cellStyle name="T_Bieu tong hop nhu cau ung 2011 da chon loc -Mien nui 2" xfId="1673"/>
    <cellStyle name="T_Book1" xfId="1674"/>
    <cellStyle name="T_Book1_1" xfId="1675"/>
    <cellStyle name="T_Book1_1 2" xfId="1676"/>
    <cellStyle name="T_Book1_1_Bieu mau ung 2011-Mien Trung-TPCP-11-6" xfId="1677"/>
    <cellStyle name="T_Book1_1_bieu tong hop" xfId="1678"/>
    <cellStyle name="T_Book1_1_Bieu tong hop nhu cau ung 2011 da chon loc -Mien nui" xfId="1679"/>
    <cellStyle name="T_Book1_1_Bieu tong hop nhu cau ung 2011 da chon loc -Mien nui 2" xfId="1680"/>
    <cellStyle name="T_Book1_1_Book1" xfId="1681"/>
    <cellStyle name="T_Book1_1_CPK" xfId="1682"/>
    <cellStyle name="T_Book1_1_CPK 2" xfId="1683"/>
    <cellStyle name="T_Book1_1_Khoi luong cac hang muc chi tiet-702" xfId="1688"/>
    <cellStyle name="T_Book1_1_Khoi luong cac hang muc chi tiet-702 2" xfId="1689"/>
    <cellStyle name="T_Book1_1_khoiluongbdacdoa" xfId="1690"/>
    <cellStyle name="T_Book1_1_KL NT dap nen Dot 3" xfId="1684"/>
    <cellStyle name="T_Book1_1_KL NT dap nen Dot 3 2" xfId="1685"/>
    <cellStyle name="T_Book1_1_KL NT Dot 3" xfId="1686"/>
    <cellStyle name="T_Book1_1_KL NT Dot 3 2" xfId="1687"/>
    <cellStyle name="T_Book1_1_mau KL vach son" xfId="1691"/>
    <cellStyle name="T_Book1_1_mau KL vach son 2" xfId="1692"/>
    <cellStyle name="T_Book1_1_Nhu cau tam ung NSNN&amp;TPCP&amp;ODA theo tieu chi cua Bo (CV410_BKH-TH)_vung Tay Nguyen (11.6.2010)" xfId="1693"/>
    <cellStyle name="T_Book1_1_Thiet bi" xfId="1696"/>
    <cellStyle name="T_Book1_1_Thiet bi 2" xfId="1697"/>
    <cellStyle name="T_Book1_1_Thong ke cong" xfId="1698"/>
    <cellStyle name="T_Book1_1_Tong hop ra soat von ung 2011 -Chau" xfId="1694"/>
    <cellStyle name="T_Book1_1_Tong hop -Yte-Giao thong-Thuy loi-24-6" xfId="1695"/>
    <cellStyle name="T_Book1_2" xfId="1699"/>
    <cellStyle name="T_Book1_2_DTDuong dong tien -sua tham tra 2009 - luong 650" xfId="1700"/>
    <cellStyle name="T_Book1_Bao cao kiem toan kh 2010" xfId="1701"/>
    <cellStyle name="T_Book1_Bao cao kiem toan kh 2010 2" xfId="1702"/>
    <cellStyle name="T_Book1_Bieu mau danh muc du an thuoc CTMTQG nam 2008" xfId="1703"/>
    <cellStyle name="T_Book1_Bieu mau danh muc du an thuoc CTMTQG nam 2008 2" xfId="1704"/>
    <cellStyle name="T_Book1_Bieu mau danh muc du an thuoc CTMTQG nam 2008_bieu tong hop" xfId="1705"/>
    <cellStyle name="T_Book1_Bieu mau danh muc du an thuoc CTMTQG nam 2008_Tong hop ra soat von ung 2011 -Chau" xfId="1706"/>
    <cellStyle name="T_Book1_Bieu mau danh muc du an thuoc CTMTQG nam 2008_Tong hop -Yte-Giao thong-Thuy loi-24-6" xfId="1707"/>
    <cellStyle name="T_Book1_Bieu tong hop nhu cau ung 2011 da chon loc -Mien nui" xfId="1708"/>
    <cellStyle name="T_Book1_Bieu tong hop nhu cau ung 2011 da chon loc -Mien nui 2" xfId="1709"/>
    <cellStyle name="T_Book1_Book1" xfId="1710"/>
    <cellStyle name="T_Book1_Book1 2" xfId="1711"/>
    <cellStyle name="T_Book1_Book1_1" xfId="1712"/>
    <cellStyle name="T_Book1_Book1_1 2" xfId="1713"/>
    <cellStyle name="T_Book1_CPK" xfId="1714"/>
    <cellStyle name="T_Book1_DT492" xfId="1715"/>
    <cellStyle name="T_Book1_DT492 2" xfId="1716"/>
    <cellStyle name="T_Book1_DT972000" xfId="1717"/>
    <cellStyle name="T_Book1_DT972000 2" xfId="1718"/>
    <cellStyle name="T_Book1_DTDuong dong tien -sua tham tra 2009 - luong 650" xfId="1719"/>
    <cellStyle name="T_Book1_Du an khoi cong moi nam 2010" xfId="1720"/>
    <cellStyle name="T_Book1_Du an khoi cong moi nam 2010 2" xfId="1721"/>
    <cellStyle name="T_Book1_Du an khoi cong moi nam 2010_bieu tong hop" xfId="1722"/>
    <cellStyle name="T_Book1_Du an khoi cong moi nam 2010_Tong hop ra soat von ung 2011 -Chau" xfId="1723"/>
    <cellStyle name="T_Book1_Du an khoi cong moi nam 2010_Tong hop -Yte-Giao thong-Thuy loi-24-6" xfId="1724"/>
    <cellStyle name="T_Book1_Du toan khao sat (bo sung 2009)" xfId="1725"/>
    <cellStyle name="T_Book1_Du toan khao sat (bo sung 2009) 2" xfId="1726"/>
    <cellStyle name="T_Book1_Hang Tom goi9 9-07(Cau 12 sua)" xfId="1727"/>
    <cellStyle name="T_Book1_HECO-NR78-Gui a-Vinh(15-5-07)" xfId="1728"/>
    <cellStyle name="T_Book1_HECO-NR78-Gui a-Vinh(15-5-07) 2" xfId="1729"/>
    <cellStyle name="T_Book1_Ke hoach 2010 (theo doi)2" xfId="1730"/>
    <cellStyle name="T_Book1_Ke hoach 2010 (theo doi)2 2" xfId="1731"/>
    <cellStyle name="T_Book1_Ket qua phan bo von nam 2008" xfId="1732"/>
    <cellStyle name="T_Book1_Ket qua phan bo von nam 2008 2" xfId="1733"/>
    <cellStyle name="T_Book1_KH XDCB_2008 lan 2 sua ngay 10-11" xfId="1736"/>
    <cellStyle name="T_Book1_KH XDCB_2008 lan 2 sua ngay 10-11 2" xfId="1737"/>
    <cellStyle name="T_Book1_Khoi luong cac hang muc chi tiet-702" xfId="1738"/>
    <cellStyle name="T_Book1_Khoi luong chinh Hang Tom" xfId="1739"/>
    <cellStyle name="T_Book1_khoiluongbdacdoa" xfId="1740"/>
    <cellStyle name="T_Book1_khoiluongbdacdoa 2" xfId="1741"/>
    <cellStyle name="T_Book1_KL NT dap nen Dot 3" xfId="1734"/>
    <cellStyle name="T_Book1_KL NT Dot 3" xfId="1735"/>
    <cellStyle name="T_Book1_mau bieu doan giam sat 2010 (version 2)" xfId="1742"/>
    <cellStyle name="T_Book1_mau bieu doan giam sat 2010 (version 2) 2" xfId="1743"/>
    <cellStyle name="T_Book1_mau KL vach son" xfId="1744"/>
    <cellStyle name="T_Book1_Nhu cau von ung truoc 2011 Tha h Hoa + Nge An gui TW" xfId="1745"/>
    <cellStyle name="T_Book1_Nhu cau von ung truoc 2011 Tha h Hoa + Nge An gui TW 2" xfId="1746"/>
    <cellStyle name="T_Book1_QD UBND tinh" xfId="1747"/>
    <cellStyle name="T_Book1_QD UBND tinh 2" xfId="1748"/>
    <cellStyle name="T_Book1_San sat hach moi" xfId="1749"/>
    <cellStyle name="T_Book1_San sat hach moi 2" xfId="1750"/>
    <cellStyle name="T_Book1_Thiet bi" xfId="1752"/>
    <cellStyle name="T_Book1_Thong ke cong" xfId="1753"/>
    <cellStyle name="T_Book1_Thong ke cong 2" xfId="1754"/>
    <cellStyle name="T_Book1_Tong hop 3 tinh (11_5)-TTH-QN-QT" xfId="1751"/>
    <cellStyle name="T_Book1_ung 2011 - 11-6-Thanh hoa-Nghe an" xfId="1755"/>
    <cellStyle name="T_Book1_ung 2011 - 11-6-Thanh hoa-Nghe an 2" xfId="1756"/>
    <cellStyle name="T_Book1_ung truoc 2011 NSTW Thanh Hoa + Nge An gui Thu 12-5" xfId="1757"/>
    <cellStyle name="T_Book1_ung truoc 2011 NSTW Thanh Hoa + Nge An gui Thu 12-5 2" xfId="1758"/>
    <cellStyle name="T_Book1_VBPL kiểm toán Đầu tư XDCB 2010" xfId="1759"/>
    <cellStyle name="T_Book1_Worksheet in D: My Documents Luc Van ban xu ly Nam 2011 Bao cao ra soat tam ung TPCP" xfId="1760"/>
    <cellStyle name="T_Book1_Worksheet in D: My Documents Luc Van ban xu ly Nam 2011 Bao cao ra soat tam ung TPCP 2" xfId="1761"/>
    <cellStyle name="T_CDKT" xfId="1762"/>
    <cellStyle name="T_CDKT 2" xfId="1763"/>
    <cellStyle name="T_Chuan bi dau tu nam 2008" xfId="1789"/>
    <cellStyle name="T_Chuan bi dau tu nam 2008 2" xfId="1790"/>
    <cellStyle name="T_Chuan bi dau tu nam 2008_bieu tong hop" xfId="1791"/>
    <cellStyle name="T_Chuan bi dau tu nam 2008_Tong hop ra soat von ung 2011 -Chau" xfId="1792"/>
    <cellStyle name="T_Chuan bi dau tu nam 2008_Tong hop -Yte-Giao thong-Thuy loi-24-6" xfId="1793"/>
    <cellStyle name="T_Copy of Bao cao  XDCB 7 thang nam 2008_So KH&amp;DT SUA" xfId="1764"/>
    <cellStyle name="T_Copy of Bao cao  XDCB 7 thang nam 2008_So KH&amp;DT SUA 2" xfId="1765"/>
    <cellStyle name="T_Copy of Bao cao  XDCB 7 thang nam 2008_So KH&amp;DT SUA_bieu tong hop" xfId="1766"/>
    <cellStyle name="T_Copy of Bao cao  XDCB 7 thang nam 2008_So KH&amp;DT SUA_Tong hop ra soat von ung 2011 -Chau" xfId="1767"/>
    <cellStyle name="T_Copy of Bao cao  XDCB 7 thang nam 2008_So KH&amp;DT SUA_Tong hop -Yte-Giao thong-Thuy loi-24-6" xfId="1768"/>
    <cellStyle name="T_Copy of KS Du an dau tu" xfId="1769"/>
    <cellStyle name="T_Copy of KS Du an dau tu 2" xfId="1770"/>
    <cellStyle name="T_Cost for DD (summary)" xfId="1771"/>
    <cellStyle name="T_Cost for DD (summary) 2" xfId="1772"/>
    <cellStyle name="T_CPK" xfId="1773"/>
    <cellStyle name="T_CPK 2" xfId="1774"/>
    <cellStyle name="T_CTMTQG 2008" xfId="1775"/>
    <cellStyle name="T_CTMTQG 2008 2" xfId="1776"/>
    <cellStyle name="T_CTMTQG 2008_Bieu mau danh muc du an thuoc CTMTQG nam 2008" xfId="1777"/>
    <cellStyle name="T_CTMTQG 2008_Bieu mau danh muc du an thuoc CTMTQG nam 2008 2" xfId="1778"/>
    <cellStyle name="T_CTMTQG 2008_Hi-Tong hop KQ phan bo KH nam 08- LD fong giao 15-11-08" xfId="1779"/>
    <cellStyle name="T_CTMTQG 2008_Hi-Tong hop KQ phan bo KH nam 08- LD fong giao 15-11-08 2" xfId="1780"/>
    <cellStyle name="T_CTMTQG 2008_Ket qua thuc hien nam 2008" xfId="1781"/>
    <cellStyle name="T_CTMTQG 2008_Ket qua thuc hien nam 2008 2" xfId="1782"/>
    <cellStyle name="T_CTMTQG 2008_KH XDCB_2008 lan 1" xfId="1783"/>
    <cellStyle name="T_CTMTQG 2008_KH XDCB_2008 lan 1 2" xfId="1784"/>
    <cellStyle name="T_CTMTQG 2008_KH XDCB_2008 lan 1 sua ngay 27-10" xfId="1785"/>
    <cellStyle name="T_CTMTQG 2008_KH XDCB_2008 lan 1 sua ngay 27-10 2" xfId="1786"/>
    <cellStyle name="T_CTMTQG 2008_KH XDCB_2008 lan 2 sua ngay 10-11" xfId="1787"/>
    <cellStyle name="T_CTMTQG 2008_KH XDCB_2008 lan 2 sua ngay 10-11 2" xfId="1788"/>
    <cellStyle name="T_DT972000" xfId="1794"/>
    <cellStyle name="T_DTDuong dong tien -sua tham tra 2009 - luong 650" xfId="1795"/>
    <cellStyle name="T_DTDuong dong tien -sua tham tra 2009 - luong 650 2" xfId="1796"/>
    <cellStyle name="T_dtTL598G1." xfId="1797"/>
    <cellStyle name="T_Du an khoi cong moi nam 2010" xfId="1798"/>
    <cellStyle name="T_Du an khoi cong moi nam 2010 2" xfId="1799"/>
    <cellStyle name="T_Du an khoi cong moi nam 2010_bieu tong hop" xfId="1800"/>
    <cellStyle name="T_Du an khoi cong moi nam 2010_Tong hop ra soat von ung 2011 -Chau" xfId="1801"/>
    <cellStyle name="T_Du an khoi cong moi nam 2010_Tong hop -Yte-Giao thong-Thuy loi-24-6" xfId="1802"/>
    <cellStyle name="T_DU AN TKQH VA CHUAN BI DAU TU NAM 2007 sua ngay 9-11" xfId="1803"/>
    <cellStyle name="T_DU AN TKQH VA CHUAN BI DAU TU NAM 2007 sua ngay 9-11 2" xfId="1804"/>
    <cellStyle name="T_DU AN TKQH VA CHUAN BI DAU TU NAM 2007 sua ngay 9-11_Bieu mau danh muc du an thuoc CTMTQG nam 2008" xfId="1805"/>
    <cellStyle name="T_DU AN TKQH VA CHUAN BI DAU TU NAM 2007 sua ngay 9-11_Bieu mau danh muc du an thuoc CTMTQG nam 2008 2" xfId="1806"/>
    <cellStyle name="T_DU AN TKQH VA CHUAN BI DAU TU NAM 2007 sua ngay 9-11_Bieu mau danh muc du an thuoc CTMTQG nam 2008_bieu tong hop" xfId="1807"/>
    <cellStyle name="T_DU AN TKQH VA CHUAN BI DAU TU NAM 2007 sua ngay 9-11_Bieu mau danh muc du an thuoc CTMTQG nam 2008_Tong hop ra soat von ung 2011 -Chau" xfId="1808"/>
    <cellStyle name="T_DU AN TKQH VA CHUAN BI DAU TU NAM 2007 sua ngay 9-11_Bieu mau danh muc du an thuoc CTMTQG nam 2008_Tong hop -Yte-Giao thong-Thuy loi-24-6" xfId="1809"/>
    <cellStyle name="T_DU AN TKQH VA CHUAN BI DAU TU NAM 2007 sua ngay 9-11_Du an khoi cong moi nam 2010" xfId="1810"/>
    <cellStyle name="T_DU AN TKQH VA CHUAN BI DAU TU NAM 2007 sua ngay 9-11_Du an khoi cong moi nam 2010 2" xfId="1811"/>
    <cellStyle name="T_DU AN TKQH VA CHUAN BI DAU TU NAM 2007 sua ngay 9-11_Du an khoi cong moi nam 2010_bieu tong hop" xfId="1812"/>
    <cellStyle name="T_DU AN TKQH VA CHUAN BI DAU TU NAM 2007 sua ngay 9-11_Du an khoi cong moi nam 2010_Tong hop ra soat von ung 2011 -Chau" xfId="1813"/>
    <cellStyle name="T_DU AN TKQH VA CHUAN BI DAU TU NAM 2007 sua ngay 9-11_Du an khoi cong moi nam 2010_Tong hop -Yte-Giao thong-Thuy loi-24-6" xfId="1814"/>
    <cellStyle name="T_DU AN TKQH VA CHUAN BI DAU TU NAM 2007 sua ngay 9-11_Ket qua phan bo von nam 2008" xfId="1815"/>
    <cellStyle name="T_DU AN TKQH VA CHUAN BI DAU TU NAM 2007 sua ngay 9-11_Ket qua phan bo von nam 2008 2" xfId="1816"/>
    <cellStyle name="T_DU AN TKQH VA CHUAN BI DAU TU NAM 2007 sua ngay 9-11_KH XDCB_2008 lan 2 sua ngay 10-11" xfId="1817"/>
    <cellStyle name="T_DU AN TKQH VA CHUAN BI DAU TU NAM 2007 sua ngay 9-11_KH XDCB_2008 lan 2 sua ngay 10-11 2" xfId="1818"/>
    <cellStyle name="T_du toan dieu chinh  20-8-2006" xfId="1819"/>
    <cellStyle name="T_Du toan khao sat (bo sung 2009)" xfId="1820"/>
    <cellStyle name="T_du toan lan 3" xfId="1821"/>
    <cellStyle name="T_du toan lan 3 2" xfId="1822"/>
    <cellStyle name="T_Ke hoach KTXH  nam 2009_PKT thang 11 nam 2008" xfId="1823"/>
    <cellStyle name="T_Ke hoach KTXH  nam 2009_PKT thang 11 nam 2008 2" xfId="1824"/>
    <cellStyle name="T_Ke hoach KTXH  nam 2009_PKT thang 11 nam 2008_bieu tong hop" xfId="1825"/>
    <cellStyle name="T_Ke hoach KTXH  nam 2009_PKT thang 11 nam 2008_Tong hop ra soat von ung 2011 -Chau" xfId="1826"/>
    <cellStyle name="T_Ke hoach KTXH  nam 2009_PKT thang 11 nam 2008_Tong hop -Yte-Giao thong-Thuy loi-24-6" xfId="1827"/>
    <cellStyle name="T_Ket qua dau thau" xfId="1828"/>
    <cellStyle name="T_Ket qua dau thau 2" xfId="1829"/>
    <cellStyle name="T_Ket qua dau thau_bieu tong hop" xfId="1830"/>
    <cellStyle name="T_Ket qua dau thau_Tong hop ra soat von ung 2011 -Chau" xfId="1831"/>
    <cellStyle name="T_Ket qua dau thau_Tong hop -Yte-Giao thong-Thuy loi-24-6" xfId="1832"/>
    <cellStyle name="T_Ket qua phan bo von nam 2008" xfId="1833"/>
    <cellStyle name="T_Ket qua phan bo von nam 2008 2" xfId="1834"/>
    <cellStyle name="T_KH XDCB_2008 lan 2 sua ngay 10-11" xfId="1839"/>
    <cellStyle name="T_KH XDCB_2008 lan 2 sua ngay 10-11 2" xfId="1840"/>
    <cellStyle name="T_Khao satD1" xfId="1841"/>
    <cellStyle name="T_Khoi luong cac hang muc chi tiet-702" xfId="1842"/>
    <cellStyle name="T_Khoi luong cac hang muc chi tiet-702 2" xfId="1843"/>
    <cellStyle name="T_KL NT dap nen Dot 3" xfId="1835"/>
    <cellStyle name="T_KL NT Dot 3" xfId="1836"/>
    <cellStyle name="T_Kl VL ranh" xfId="1837"/>
    <cellStyle name="T_KLNMD1" xfId="1838"/>
    <cellStyle name="T_mau bieu doan giam sat 2010 (version 2)" xfId="1844"/>
    <cellStyle name="T_mau bieu doan giam sat 2010 (version 2) 2" xfId="1845"/>
    <cellStyle name="T_mau KL vach son" xfId="1846"/>
    <cellStyle name="T_mau KL vach son 2" xfId="1847"/>
    <cellStyle name="T_Me_Tri_6_07" xfId="1848"/>
    <cellStyle name="T_N2 thay dat (N1-1)" xfId="1849"/>
    <cellStyle name="T_Phuong an can doi nam 2008" xfId="1850"/>
    <cellStyle name="T_Phuong an can doi nam 2008 2" xfId="1851"/>
    <cellStyle name="T_Phuong an can doi nam 2008_bieu tong hop" xfId="1852"/>
    <cellStyle name="T_Phuong an can doi nam 2008_Tong hop ra soat von ung 2011 -Chau" xfId="1853"/>
    <cellStyle name="T_Phuong an can doi nam 2008_Tong hop -Yte-Giao thong-Thuy loi-24-6" xfId="1854"/>
    <cellStyle name="T_San sat hach moi" xfId="1855"/>
    <cellStyle name="T_Seagame(BTL)" xfId="1856"/>
    <cellStyle name="T_So GTVT" xfId="1857"/>
    <cellStyle name="T_So GTVT_bieu tong hop" xfId="1858"/>
    <cellStyle name="T_So GTVT_bieu tong hop 2" xfId="1859"/>
    <cellStyle name="T_So GTVT_Tong hop ra soat von ung 2011 -Chau" xfId="1860"/>
    <cellStyle name="T_So GTVT_Tong hop ra soat von ung 2011 -Chau 2" xfId="1861"/>
    <cellStyle name="T_So GTVT_Tong hop -Yte-Giao thong-Thuy loi-24-6" xfId="1862"/>
    <cellStyle name="T_So GTVT_Tong hop -Yte-Giao thong-Thuy loi-24-6 2" xfId="1863"/>
    <cellStyle name="T_SS BVTC cau va cong tuyen Le Chan" xfId="1864"/>
    <cellStyle name="T_Tay Bac 1" xfId="1865"/>
    <cellStyle name="T_Tay Bac 1 2" xfId="1866"/>
    <cellStyle name="T_Tay Bac 1_Bao cao kiem toan kh 2010" xfId="1867"/>
    <cellStyle name="T_Tay Bac 1_Book1" xfId="1868"/>
    <cellStyle name="T_Tay Bac 1_Ke hoach 2010 (theo doi)2" xfId="1869"/>
    <cellStyle name="T_Tay Bac 1_QD UBND tinh" xfId="1870"/>
    <cellStyle name="T_Tay Bac 1_Worksheet in D: My Documents Luc Van ban xu ly Nam 2011 Bao cao ra soat tam ung TPCP" xfId="1871"/>
    <cellStyle name="T_TDT + duong(8-5-07)" xfId="1872"/>
    <cellStyle name="T_tham_tra_du_toan" xfId="1888"/>
    <cellStyle name="T_Thiet bi" xfId="1889"/>
    <cellStyle name="T_Thiet bi 2" xfId="1890"/>
    <cellStyle name="T_THKL 1303" xfId="1891"/>
    <cellStyle name="T_Thong ke" xfId="1892"/>
    <cellStyle name="T_Thong ke cong" xfId="1893"/>
    <cellStyle name="T_thong ke giao dan sinh" xfId="1894"/>
    <cellStyle name="T_tien2004" xfId="1873"/>
    <cellStyle name="T_TKE-ChoDon-sua" xfId="1874"/>
    <cellStyle name="T_Tong hop 3 tinh (11_5)-TTH-QN-QT" xfId="1875"/>
    <cellStyle name="T_Tong hop 3 tinh (11_5)-TTH-QN-QT 2" xfId="1876"/>
    <cellStyle name="T_Tong hop khoi luong Dot 3" xfId="1877"/>
    <cellStyle name="T_Tong hop theo doi von TPCP" xfId="1878"/>
    <cellStyle name="T_Tong hop theo doi von TPCP 2" xfId="1879"/>
    <cellStyle name="T_Tong hop theo doi von TPCP_Bao cao kiem toan kh 2010" xfId="1880"/>
    <cellStyle name="T_Tong hop theo doi von TPCP_Bao cao kiem toan kh 2010 2" xfId="1881"/>
    <cellStyle name="T_Tong hop theo doi von TPCP_Ke hoach 2010 (theo doi)2" xfId="1882"/>
    <cellStyle name="T_Tong hop theo doi von TPCP_Ke hoach 2010 (theo doi)2 2" xfId="1883"/>
    <cellStyle name="T_Tong hop theo doi von TPCP_QD UBND tinh" xfId="1884"/>
    <cellStyle name="T_Tong hop theo doi von TPCP_QD UBND tinh 2" xfId="1885"/>
    <cellStyle name="T_Tong hop theo doi von TPCP_Worksheet in D: My Documents Luc Van ban xu ly Nam 2011 Bao cao ra soat tam ung TPCP" xfId="1886"/>
    <cellStyle name="T_Tong hop theo doi von TPCP_Worksheet in D: My Documents Luc Van ban xu ly Nam 2011 Bao cao ra soat tam ung TPCP 2" xfId="1887"/>
    <cellStyle name="T_VBPL kiểm toán Đầu tư XDCB 2010" xfId="1895"/>
    <cellStyle name="T_Worksheet in D: ... Hoan thien 5goi theo KL cu 28-06 4.Cong 5goi Coc 33-Km1+490.13 Cong coc 33-km1+490.13" xfId="1896"/>
    <cellStyle name="T_ÿÿÿÿÿ" xfId="1897"/>
    <cellStyle name="Text" xfId="1898"/>
    <cellStyle name="Text Indent A" xfId="1899"/>
    <cellStyle name="Text Indent A 2" xfId="1900"/>
    <cellStyle name="Text Indent B" xfId="1901"/>
    <cellStyle name="Text Indent B 2" xfId="1902"/>
    <cellStyle name="Text Indent C" xfId="1903"/>
    <cellStyle name="Text Indent C 2" xfId="1904"/>
    <cellStyle name="Text_Bao cao doan cong tac cua Bo thang 4-2010" xfId="1905"/>
    <cellStyle name="th" xfId="1923"/>
    <cellStyle name="than" xfId="1924"/>
    <cellStyle name="thanh" xfId="1925"/>
    <cellStyle name="þ_x001d_ð¤_x000c_¯þ_x0014__x000d_¨þU_x0001_À_x0004_ _x0015__x000f__x0001__x0001_" xfId="1926"/>
    <cellStyle name="þ_x001d_ð¤_x000c_¯þ_x0014__x000d_¨þU_x0001_À_x0004_ _x0015__x000f__x0001__x0001_ 2" xfId="1927"/>
    <cellStyle name="þ_x001d_ð·_x000c_æþ'_x000d_ßþU_x0001_Ø_x0005_ü_x0014__x0007__x0001__x0001_" xfId="1928"/>
    <cellStyle name="þ_x001d_ðÇ%Uý—&amp;Hý9_x0008_Ÿ s_x000a__x0007__x0001__x0001_" xfId="1929"/>
    <cellStyle name="þ_x001d_ðÇ%Uý—&amp;Hý9_x0008_Ÿ s_x000a__x0007__x0001__x0001_ 2" xfId="1930"/>
    <cellStyle name="þ_x001d_ðK_x000c_Fý_x001b__x000d_9ýU_x0001_Ð_x0008_¦)_x0007__x0001__x0001_" xfId="1931"/>
    <cellStyle name="þ_x001d_ðK_x000c_Fý_x001b__x000d_9ýU_x0001_Ð_x0008_¦)_x0007__x0001__x0001_ 2" xfId="1932"/>
    <cellStyle name="thuong-10" xfId="1933"/>
    <cellStyle name="thuong-11" xfId="1934"/>
    <cellStyle name="Thuyet minh" xfId="1935"/>
    <cellStyle name="Tien1" xfId="1906"/>
    <cellStyle name="Tiêu đề" xfId="1907"/>
    <cellStyle name="Times New Roman" xfId="1908"/>
    <cellStyle name="Tính toán" xfId="1909"/>
    <cellStyle name="tit1" xfId="1910"/>
    <cellStyle name="tit2" xfId="1911"/>
    <cellStyle name="tit3" xfId="1912"/>
    <cellStyle name="tit4" xfId="1913"/>
    <cellStyle name="Title 2" xfId="1914"/>
    <cellStyle name="Tổng" xfId="1917"/>
    <cellStyle name="Tongcong" xfId="1915"/>
    <cellStyle name="Tốt" xfId="1918"/>
    <cellStyle name="Total 2" xfId="1916"/>
    <cellStyle name="trang" xfId="1936"/>
    <cellStyle name="Trung tính" xfId="1937"/>
    <cellStyle name="tt1" xfId="1919"/>
    <cellStyle name="Tuan" xfId="1920"/>
    <cellStyle name="Tusental (0)_pldt" xfId="1921"/>
    <cellStyle name="Tusental_pldt" xfId="1922"/>
    <cellStyle name="u" xfId="1938"/>
    <cellStyle name="ux_3_¼­¿ï-¾È»ê" xfId="1939"/>
    <cellStyle name="Valuta (0)_CALPREZZ" xfId="1940"/>
    <cellStyle name="Valuta_ PESO ELETTR." xfId="1941"/>
    <cellStyle name="Văn bản Cảnh báo" xfId="1943"/>
    <cellStyle name="Văn bản Giải thích" xfId="1944"/>
    <cellStyle name="VANG1" xfId="1942"/>
    <cellStyle name="viet" xfId="1945"/>
    <cellStyle name="viet2" xfId="1946"/>
    <cellStyle name="Vietnam 1" xfId="1947"/>
    <cellStyle name="VN new romanNormal" xfId="1948"/>
    <cellStyle name="vn time 10" xfId="1949"/>
    <cellStyle name="Vn Time 13" xfId="1950"/>
    <cellStyle name="Vn Time 13 2" xfId="1951"/>
    <cellStyle name="Vn Time 14" xfId="1952"/>
    <cellStyle name="VN time new roman" xfId="1953"/>
    <cellStyle name="vn_time" xfId="1954"/>
    <cellStyle name="vnbo" xfId="1955"/>
    <cellStyle name="vnhead1" xfId="1959"/>
    <cellStyle name="vnhead2" xfId="1960"/>
    <cellStyle name="vnhead3" xfId="1961"/>
    <cellStyle name="vnhead4" xfId="1962"/>
    <cellStyle name="vntxt1" xfId="1956"/>
    <cellStyle name="vntxt1 2" xfId="1957"/>
    <cellStyle name="vntxt2" xfId="1958"/>
    <cellStyle name="W?hrung [0]_35ERI8T2gbIEMixb4v26icuOo" xfId="1963"/>
    <cellStyle name="W?hrung_35ERI8T2gbIEMixb4v26icuOo" xfId="1964"/>
    <cellStyle name="Währung [0]_68574_Materialbedarfsliste" xfId="1965"/>
    <cellStyle name="Währung_68574_Materialbedarfsliste" xfId="1966"/>
    <cellStyle name="Walutowy [0]_Invoices2001Slovakia" xfId="1967"/>
    <cellStyle name="Walutowy_Invoices2001Slovakia" xfId="1968"/>
    <cellStyle name="Warning Text 2" xfId="1969"/>
    <cellStyle name="wrap" xfId="1970"/>
    <cellStyle name="Wไhrung [0]_35ERI8T2gbIEMixb4v26icuOo" xfId="1971"/>
    <cellStyle name="Wไhrung_35ERI8T2gbIEMixb4v26icuOo" xfId="1972"/>
    <cellStyle name="Xấu" xfId="1973"/>
    <cellStyle name="xuan" xfId="1974"/>
    <cellStyle name="y" xfId="1975"/>
    <cellStyle name="y 2" xfId="1976"/>
    <cellStyle name="Ý kh¸c_B¶ng 1 (2)" xfId="1977"/>
    <cellStyle name="เครื่องหมายสกุลเงิน [0]_FTC_OFFER" xfId="1978"/>
    <cellStyle name="เครื่องหมายสกุลเงิน_FTC_OFFER" xfId="1979"/>
    <cellStyle name="ปกติ_FTC_OFFER" xfId="1980"/>
    <cellStyle name=" [0.00]_ Att. 1- Cover" xfId="1981"/>
    <cellStyle name="_ Att. 1- Cover" xfId="1982"/>
    <cellStyle name="?_ Att. 1- Cover" xfId="1983"/>
    <cellStyle name="똿뗦먛귟 [0.00]_PRODUCT DETAIL Q1" xfId="1984"/>
    <cellStyle name="똿뗦먛귟_PRODUCT DETAIL Q1" xfId="1985"/>
    <cellStyle name="믅됞 [0.00]_PRODUCT DETAIL Q1" xfId="1986"/>
    <cellStyle name="믅됞_PRODUCT DETAIL Q1" xfId="1987"/>
    <cellStyle name="백분율_††††† " xfId="1988"/>
    <cellStyle name="뷭?_BOOKSHIP" xfId="1989"/>
    <cellStyle name="안건회계법인" xfId="1990"/>
    <cellStyle name="콤마 [ - 유형1" xfId="1991"/>
    <cellStyle name="콤마 [ - 유형2" xfId="1992"/>
    <cellStyle name="콤마 [ - 유형3" xfId="1993"/>
    <cellStyle name="콤마 [ - 유형4" xfId="1994"/>
    <cellStyle name="콤마 [ - 유형5" xfId="1995"/>
    <cellStyle name="콤마 [ - 유형6" xfId="1996"/>
    <cellStyle name="콤마 [ - 유형7" xfId="1997"/>
    <cellStyle name="콤마 [ - 유형8" xfId="1998"/>
    <cellStyle name="콤마 [0]_ 비목별 월별기술 " xfId="1999"/>
    <cellStyle name="콤마_ 비목별 월별기술 " xfId="2000"/>
    <cellStyle name="통화 [0]_††††† " xfId="2001"/>
    <cellStyle name="통화_††††† " xfId="2002"/>
    <cellStyle name="표준_ 97년 경영분석(안)" xfId="2003"/>
    <cellStyle name="표줠_Sheet1_1_총괄표 (수출입) (2)" xfId="2004"/>
    <cellStyle name="一般_00Q3902REV.1" xfId="2005"/>
    <cellStyle name="千分位[0]_00Q3902REV.1" xfId="2006"/>
    <cellStyle name="千分位_00Q3902REV.1" xfId="2007"/>
    <cellStyle name="桁区切り [0.00]_BE-BQ" xfId="2008"/>
    <cellStyle name="桁区切り_BE-BQ" xfId="2009"/>
    <cellStyle name="標準_(A1)BOQ " xfId="2010"/>
    <cellStyle name="貨幣 [0]_00Q3902REV.1" xfId="2011"/>
    <cellStyle name="貨幣[0]_BRE" xfId="2012"/>
    <cellStyle name="貨幣_00Q3902REV.1" xfId="2013"/>
    <cellStyle name="通貨 [0.00]_BE-BQ" xfId="2014"/>
    <cellStyle name="通貨_BE-BQ" xfId="201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externalLink" Target="externalLinks/externalLink8.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7.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y%20PC\Downloads\BC%20PGD\T&#7843;i%20v&#7873;%202013-2014\BC%20cuoi%20nam\Hoc%20tap\Thuctap\moi1\PT%20KIEN\KIEN\tnhoche\Cong%20trinh\Son%20La\Du%20toan\Congviec\Tam.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d.docs.live.net/My%20Documents/Hung/2012/Danh%20gia%20KTXH/nam%202012/My%20Documents/Luong/My%20Documents/H&#187;ng/Sonla/DTOAN/phong%20nen/DT-THL7.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Worksheet%20in%20Thn-ChsTQ"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2018\c&#244;ng%20tr&#236;nh\n&#7841;o%20v&#233;t\BangGiaCaMay_TT01-2015.xls"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DUTOAN1"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Administrator\Downloads\DAT2021_HY.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Administrator\Downloads\BIEU%20Lap%20DT%202022_%20ND%2031_TT342%20thu.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Administrator\Downloads\Copy%20of%201%20DU%20TOAN%20GIAO%20DUC%202022_hop%20HDND%2012_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m"/>
      <sheetName val="Du_lieu"/>
      <sheetName val="KH-Q1,Q2,01"/>
      <sheetName val="TONGKE3p "/>
      <sheetName val="TDTKP"/>
      <sheetName val="DON GIA"/>
      <sheetName val="TONG HOP VL-NC"/>
      <sheetName val="TNHCHINH"/>
      <sheetName val="CHITIET VL-NC-TT -1p"/>
      <sheetName val="TDTKP1"/>
      <sheetName val="phuluc1"/>
      <sheetName val="TONG HOP VL-NC TT"/>
      <sheetName val="KPVC-BD "/>
      <sheetName val="#REF"/>
      <sheetName val="gvl"/>
      <sheetName val="Tiepdia"/>
      <sheetName val="CHITIET VL-NC-TT-3p"/>
      <sheetName val="VCV-BE-TONG"/>
      <sheetName val="chitiet"/>
      <sheetName val="VC"/>
      <sheetName val="CHITIET VL-NC"/>
      <sheetName val="THPDMoi  (2)"/>
      <sheetName val="t-h HA THE"/>
      <sheetName val="giathanh1"/>
      <sheetName val="TONGKE-HT"/>
      <sheetName val="LKVL-CK-HT-GD1"/>
      <sheetName val="TH VL, NC, DDHT Thanhphuoc"/>
      <sheetName val="dongia (2)"/>
      <sheetName val="DG"/>
      <sheetName val="DONGIA"/>
      <sheetName val="chitimc"/>
      <sheetName val="dtxl"/>
      <sheetName val="gtrinh"/>
      <sheetName val="lam-moi"/>
      <sheetName val="TH XL"/>
      <sheetName val="thao-go"/>
      <sheetName val="BAOGIATHANG"/>
      <sheetName val="vanchuyen TC"/>
      <sheetName val="DAODAT"/>
      <sheetName val="dongiaX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gct"/>
      <sheetName val="dtct"/>
      <sheetName val="gvl"/>
      <sheetName val="Sheet10"/>
      <sheetName val="Sheet11"/>
      <sheetName val="Sheet12"/>
      <sheetName val="Sheet13"/>
      <sheetName val="Sheet14"/>
      <sheetName val="Sheet15"/>
      <sheetName val="Sheet16"/>
      <sheetName val="Dinh muc du toan"/>
      <sheetName val="Config"/>
      <sheetName val="AutoClose"/>
      <sheetName val="NC"/>
      <sheetName val="M"/>
      <sheetName val="TSo"/>
      <sheetName val="PC"/>
      <sheetName val="Vua"/>
      <sheetName val="KL"/>
      <sheetName val="VC"/>
      <sheetName val="DGduong"/>
      <sheetName val="DT"/>
      <sheetName val="TH"/>
      <sheetName val="Thu"/>
      <sheetName val="XXXXXXXX"/>
      <sheetName val="total"/>
      <sheetName val="(viet)"/>
      <sheetName val="dictionary"/>
      <sheetName val="New(eng)"/>
      <sheetName val="RFI(eng)SW-sun"/>
      <sheetName val="RFI(eng)HVP-sun"/>
      <sheetName val="RFI(eng)SW"/>
      <sheetName val="RFI(eng)SW (2)"/>
      <sheetName val="RFI(eng)HVP"/>
      <sheetName val="RFI(eng)Lab."/>
      <sheetName val="RFI -add"/>
      <sheetName val="TSCD DUNG CHUNG "/>
      <sheetName val="KHKHAUHAOTSCHUNG"/>
      <sheetName val="TSCDTOAN NHA MAY"/>
      <sheetName val="CPSXTOAN BO SP"/>
      <sheetName val="PBCPCHUNG CHO CAC DTUONG"/>
      <sheetName val="XL4Poppy"/>
      <sheetName val="VLieu"/>
      <sheetName val="CT"/>
      <sheetName val="DToan"/>
      <sheetName val="Tong hop"/>
      <sheetName val="Cuoc V.chuyen"/>
      <sheetName val="Sheet7"/>
      <sheetName val="Sheet8"/>
      <sheetName val="Sheet9"/>
      <sheetName val="TH An ca"/>
      <sheetName val="XN SL An ca"/>
      <sheetName val="Dang ky an ca"/>
      <sheetName val="Dang ky an ca T2"/>
      <sheetName val="Sheet2"/>
      <sheetName val="Sheet3"/>
      <sheetName val="XL4Test5"/>
      <sheetName val="vatlieu"/>
      <sheetName val="vattu"/>
      <sheetName val="CHITIET"/>
      <sheetName val="DONGIA"/>
      <sheetName val="DT02"/>
      <sheetName val="DTgoi1"/>
      <sheetName val="DTgoi2"/>
      <sheetName val="DTgoi3"/>
      <sheetName val="DTgoi4"/>
      <sheetName val="DTgoi5"/>
      <sheetName val="DTgoi6"/>
      <sheetName val="Tong hop goi thau"/>
      <sheetName val="DT-tn"/>
      <sheetName val="TH02"/>
      <sheetName val="THgoi1"/>
      <sheetName val="THgoi2"/>
      <sheetName val="THgoi3"/>
      <sheetName val="KLgoi11"/>
      <sheetName val="THgoi4"/>
      <sheetName val="THgoi5"/>
      <sheetName val="THgoi6"/>
      <sheetName val="chitiet02"/>
      <sheetName val="THKL1"/>
      <sheetName val="chitiet1"/>
      <sheetName val="TH-KL"/>
      <sheetName val="kl-chitiet"/>
      <sheetName val="Sheet1"/>
      <sheetName val="1"/>
      <sheetName val="00000000"/>
      <sheetName val="T2"/>
      <sheetName val="T3"/>
      <sheetName val="T4"/>
      <sheetName val="T5"/>
      <sheetName val="THop"/>
      <sheetName val="THKD"/>
      <sheetName val="10000000"/>
      <sheetName val="20000000"/>
      <sheetName val="30000000"/>
      <sheetName val="40000000"/>
      <sheetName val="50000000"/>
      <sheetName val="60000000"/>
      <sheetName val="bg+th45"/>
      <sheetName val="4-5"/>
      <sheetName val="bg+th34"/>
      <sheetName val="3-4"/>
      <sheetName val="bg+th23"/>
      <sheetName val="2-3"/>
      <sheetName val="bg+th12"/>
      <sheetName val="1-2"/>
      <sheetName val="bg+th"/>
      <sheetName val="ptvl"/>
      <sheetName val="0-1"/>
      <sheetName val="C47-456"/>
      <sheetName val="C46"/>
      <sheetName val="C47-PII"/>
      <sheetName val="DTduong"/>
      <sheetName val="Nhahat"/>
      <sheetName val="Sheet4"/>
      <sheetName val="Sheet5"/>
      <sheetName val="Sheet6"/>
      <sheetName val="DT-THL7"/>
      <sheetName val="PA_coso"/>
      <sheetName val="PA_von"/>
      <sheetName val="PA_nhucau"/>
      <sheetName val="PA_TH"/>
      <sheetName val="THDT"/>
      <sheetName val="XL35"/>
      <sheetName val="DZ-35"/>
      <sheetName val="TN_35"/>
      <sheetName val="CT-DZ"/>
      <sheetName val="TC"/>
      <sheetName val="TH_BA"/>
      <sheetName val="TBA"/>
      <sheetName val="TNT"/>
      <sheetName val="CT_TBA"/>
      <sheetName val="KB"/>
      <sheetName val="CT_BT"/>
      <sheetName val="KS"/>
      <sheetName val="BT"/>
      <sheetName val="CP_BT"/>
      <sheetName val="DB"/>
      <sheetName val="dgth"/>
      <sheetName val="thkl"/>
      <sheetName val="thkl (2)"/>
      <sheetName val="LK2"/>
      <sheetName val="He so"/>
      <sheetName val="PL Vua"/>
      <sheetName val="DPD"/>
      <sheetName val="dgmo-tru"/>
      <sheetName val="dgdam"/>
      <sheetName val="Dam-Mo-Tru"/>
      <sheetName val="GTXLc"/>
      <sheetName val="CPXLk"/>
      <sheetName val="KPTH"/>
      <sheetName val="Bang KL ket cau"/>
      <sheetName val="Ky thu , Ky tho"/>
      <sheetName val="ThCtiet Hanh Lang  KG, KT, KP"/>
      <sheetName val="TH Hanh Lang  KG, KT, KP "/>
      <sheetName val="ThCtiet lap dung cot KG,KT, KP"/>
      <sheetName val="TH Ky Anh"/>
      <sheetName val="Th Ct iet KL,KH,KT,Kvan"/>
      <sheetName val=" THop  KL,KH,KT,Kvan "/>
      <sheetName val=" THop  KL,KH,KT,Kvan  (2)"/>
      <sheetName val="Lap dung cot, san bai"/>
      <sheetName val="00000001"/>
      <sheetName val="00000002"/>
      <sheetName val="S`eet12"/>
      <sheetName val="Du_lieu"/>
      <sheetName val="XL4Uest5"/>
      <sheetName val="DGXDCB_DD"/>
      <sheetName val="PBCPCHUNG CHO CAC ETUONG"/>
      <sheetName val="cvb"/>
      <sheetName val="dg dat"/>
      <sheetName val="vtran"/>
      <sheetName val="tran"/>
      <sheetName val="khac"/>
      <sheetName val="Gia VL"/>
      <sheetName val="GiaNC"/>
      <sheetName val="Gia may"/>
      <sheetName val="giavua"/>
      <sheetName val="tap"/>
      <sheetName val="dmvt"/>
      <sheetName val="cv"/>
      <sheetName val="vl"/>
      <sheetName val="tra-vat-lieu"/>
      <sheetName val="10.1.20"/>
      <sheetName val="10.2.20"/>
      <sheetName val="11.7.30"/>
      <sheetName val="Nhan cong KS"/>
      <sheetName val="01.2.20"/>
      <sheetName val="01.2.30"/>
      <sheetName val="08.6.00"/>
      <sheetName val="12.1.30"/>
      <sheetName val="12.1.70"/>
      <sheetName val="12.1.50"/>
      <sheetName val="17.1.30"/>
      <sheetName val="17.1.20"/>
      <sheetName val="07.3.10"/>
      <sheetName val="03.1.00"/>
      <sheetName val="09.3.00"/>
      <sheetName val="Tinh Qmax (Xoko)"/>
      <sheetName val="Hinh thai"/>
      <sheetName val="Khau do Kasin"/>
      <sheetName val="Khau do cau nho"/>
      <sheetName val="Tinh Qmax"/>
      <sheetName val="H2%"/>
      <sheetName val="H~Q~V"/>
      <sheetName val="Tra K"/>
      <sheetName val="b_ tra"/>
      <sheetName val="Lç khoan LK1"/>
      <sheetName val="Thdien"/>
      <sheetName val="DTdien"/>
      <sheetName val="DG "/>
      <sheetName val="TNHCHINH"/>
      <sheetName val="Thuc thanh"/>
      <sheetName val="NewPOS"/>
      <sheetName val="Bcaonhanh"/>
      <sheetName val="Tonghop"/>
      <sheetName val="chitieth.chinh"/>
      <sheetName val="trinhEVN29.8"/>
      <sheetName val="hieuchinh30.11"/>
      <sheetName val="KTP"/>
      <sheetName val="KLM"/>
      <sheetName val="hinhhoc"/>
      <sheetName val="phan tich DG"/>
      <sheetName val="gia vat lieu"/>
      <sheetName val="gia xe may"/>
      <sheetName val="gia nhan cong"/>
    </sheetNames>
    <sheetDataSet>
      <sheetData sheetId="0"/>
      <sheetData sheetId="1" refreshError="1"/>
      <sheetData sheetId="2" refreshError="1">
        <row r="9">
          <cell r="N9">
            <v>118182</v>
          </cell>
        </row>
        <row r="16">
          <cell r="N16">
            <v>759</v>
          </cell>
        </row>
        <row r="17">
          <cell r="N17">
            <v>55000</v>
          </cell>
        </row>
        <row r="38">
          <cell r="N38">
            <v>4.5</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refreshError="1"/>
      <sheetData sheetId="51" refreshError="1"/>
      <sheetData sheetId="52" refreshError="1"/>
      <sheetData sheetId="53" refreshError="1"/>
      <sheetData sheetId="54" refreshError="1"/>
      <sheetData sheetId="55" refreshError="1"/>
      <sheetData sheetId="56" refreshError="1"/>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refreshError="1"/>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sheetData sheetId="176"/>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sheetData sheetId="218"/>
      <sheetData sheetId="219"/>
      <sheetData sheetId="220"/>
      <sheetData sheetId="221"/>
      <sheetData sheetId="222"/>
      <sheetData sheetId="223"/>
      <sheetData sheetId="22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NG HOP KL"/>
      <sheetName val="kldamchu"/>
      <sheetName val="damngang"/>
      <sheetName val="CTdamchu"/>
      <sheetName val="BMC"/>
      <sheetName val="THN- CHSANG"/>
      <sheetName val="LCTV"/>
      <sheetName val="COTTHEPMO"/>
      <sheetName val="COC 40x40S"/>
      <sheetName val="KHANGCHAN"/>
      <sheetName val="Bdan"/>
      <sheetName val="SANDAODONGCOC"/>
      <sheetName val="LDAM"/>
      <sheetName val="QUANGTREO"/>
    </sheetNames>
    <sheetDataSet>
      <sheetData sheetId="0"/>
      <sheetData sheetId="1" refreshError="1"/>
      <sheetData sheetId="2" refreshError="1"/>
      <sheetData sheetId="3" refreshError="1"/>
      <sheetData sheetId="4" refreshError="1"/>
      <sheetData sheetId="5" refreshError="1"/>
      <sheetData sheetId="6" refreshError="1"/>
      <sheetData sheetId="7" refreshError="1">
        <row r="6">
          <cell r="J6">
            <v>8</v>
          </cell>
        </row>
      </sheetData>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hanCong"/>
      <sheetName val="GiaCaMay"/>
    </sheetNames>
    <sheetDataSet>
      <sheetData sheetId="0" refreshError="1">
        <row r="9">
          <cell r="G9">
            <v>186519</v>
          </cell>
        </row>
        <row r="19">
          <cell r="G19">
            <v>220154</v>
          </cell>
        </row>
        <row r="29">
          <cell r="G29">
            <v>259904</v>
          </cell>
        </row>
        <row r="39">
          <cell r="G39">
            <v>306788</v>
          </cell>
        </row>
        <row r="49">
          <cell r="G49">
            <v>362846</v>
          </cell>
        </row>
        <row r="59">
          <cell r="G59">
            <v>428077</v>
          </cell>
        </row>
        <row r="127">
          <cell r="G127">
            <v>222192</v>
          </cell>
        </row>
        <row r="128">
          <cell r="G128">
            <v>261942</v>
          </cell>
        </row>
        <row r="129">
          <cell r="G129">
            <v>310865</v>
          </cell>
        </row>
        <row r="132">
          <cell r="G132">
            <v>255827</v>
          </cell>
        </row>
        <row r="133">
          <cell r="G133">
            <v>299654</v>
          </cell>
        </row>
        <row r="134">
          <cell r="G134">
            <v>350615</v>
          </cell>
        </row>
        <row r="137">
          <cell r="G137">
            <v>304750</v>
          </cell>
        </row>
        <row r="139">
          <cell r="G139">
            <v>418904</v>
          </cell>
        </row>
        <row r="140">
          <cell r="G140">
            <v>491269</v>
          </cell>
        </row>
        <row r="144">
          <cell r="G144">
            <v>380173</v>
          </cell>
        </row>
        <row r="145">
          <cell r="G145">
            <v>398519</v>
          </cell>
        </row>
        <row r="146">
          <cell r="G146">
            <v>323096</v>
          </cell>
        </row>
        <row r="151">
          <cell r="G151">
            <v>421962</v>
          </cell>
        </row>
        <row r="152">
          <cell r="G152">
            <v>444385</v>
          </cell>
        </row>
        <row r="154">
          <cell r="G154">
            <v>383231</v>
          </cell>
        </row>
        <row r="155">
          <cell r="G155">
            <v>298635</v>
          </cell>
        </row>
        <row r="159">
          <cell r="G159">
            <v>222192</v>
          </cell>
        </row>
        <row r="160">
          <cell r="G160">
            <v>255827</v>
          </cell>
        </row>
        <row r="161">
          <cell r="G161">
            <v>288442</v>
          </cell>
        </row>
        <row r="162">
          <cell r="G162">
            <v>208942</v>
          </cell>
        </row>
        <row r="163">
          <cell r="G163">
            <v>239519</v>
          </cell>
        </row>
        <row r="164">
          <cell r="G164">
            <v>271115</v>
          </cell>
        </row>
        <row r="165">
          <cell r="G165">
            <v>304750</v>
          </cell>
        </row>
        <row r="170">
          <cell r="G170">
            <v>356731</v>
          </cell>
        </row>
        <row r="171">
          <cell r="G171">
            <v>380173</v>
          </cell>
        </row>
        <row r="173">
          <cell r="G173">
            <v>378135</v>
          </cell>
        </row>
        <row r="175">
          <cell r="G175">
            <v>356731</v>
          </cell>
        </row>
        <row r="177">
          <cell r="G177">
            <v>445404</v>
          </cell>
        </row>
        <row r="179">
          <cell r="G179">
            <v>424000</v>
          </cell>
        </row>
        <row r="180">
          <cell r="G180">
            <v>445404</v>
          </cell>
        </row>
        <row r="182">
          <cell r="G182">
            <v>438269</v>
          </cell>
        </row>
        <row r="184">
          <cell r="G184">
            <v>398519</v>
          </cell>
        </row>
        <row r="186">
          <cell r="G186">
            <v>497385</v>
          </cell>
        </row>
        <row r="187">
          <cell r="G187">
            <v>528981</v>
          </cell>
        </row>
        <row r="188">
          <cell r="G188">
            <v>480058</v>
          </cell>
        </row>
        <row r="189">
          <cell r="G189">
            <v>516750</v>
          </cell>
        </row>
        <row r="191">
          <cell r="G191">
            <v>444385</v>
          </cell>
        </row>
        <row r="193">
          <cell r="G193">
            <v>501462</v>
          </cell>
        </row>
        <row r="195">
          <cell r="G195">
            <v>477000</v>
          </cell>
        </row>
        <row r="199">
          <cell r="G199">
            <v>551404</v>
          </cell>
        </row>
        <row r="201">
          <cell r="G201">
            <v>528981</v>
          </cell>
        </row>
        <row r="202">
          <cell r="G202">
            <v>445404</v>
          </cell>
        </row>
        <row r="203">
          <cell r="G203">
            <v>477000</v>
          </cell>
        </row>
        <row r="204">
          <cell r="G204">
            <v>477000</v>
          </cell>
        </row>
        <row r="205">
          <cell r="G205">
            <v>501462</v>
          </cell>
        </row>
        <row r="206">
          <cell r="G206">
            <v>424000</v>
          </cell>
        </row>
        <row r="207">
          <cell r="G207">
            <v>445404</v>
          </cell>
        </row>
        <row r="210">
          <cell r="G210">
            <v>586058</v>
          </cell>
        </row>
        <row r="212">
          <cell r="G212">
            <v>551404</v>
          </cell>
        </row>
        <row r="214">
          <cell r="G214">
            <v>501462</v>
          </cell>
        </row>
        <row r="215">
          <cell r="G215">
            <v>501462</v>
          </cell>
        </row>
        <row r="216">
          <cell r="G216">
            <v>528981</v>
          </cell>
        </row>
        <row r="218">
          <cell r="G218">
            <v>477000</v>
          </cell>
        </row>
        <row r="221">
          <cell r="G221">
            <v>334308</v>
          </cell>
        </row>
        <row r="224">
          <cell r="G224">
            <v>475981</v>
          </cell>
        </row>
      </sheetData>
      <sheetData sheetId="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u toan"/>
      <sheetName val="Phan tich vat tu"/>
      <sheetName val="Tong hop vat tu"/>
      <sheetName val="Gia tri vat tu"/>
      <sheetName val="Chenh lech vat tu"/>
      <sheetName val="Chi phi van chuyen"/>
      <sheetName val="Don gia chi tiet"/>
      <sheetName val="Du thau"/>
      <sheetName val="Tong hop kinh phi"/>
      <sheetName val="Tu van Thiet ke"/>
      <sheetName val="Tien do thi cong"/>
      <sheetName val="Bia du toan"/>
      <sheetName val="Tro giup"/>
      <sheetName val="Config"/>
      <sheetName val="Gia giao VL den HT"/>
      <sheetName val="Gia VL den HT"/>
      <sheetName val="Tong hop DTXD CT"/>
      <sheetName val="Du toan XDCT"/>
      <sheetName val="Tong hop CPXD"/>
      <sheetName val="Tong hop CPTB"/>
      <sheetName val="Tong hop CPK"/>
      <sheetName val="Tu van Thiet ke 1"/>
      <sheetName val="Macro1"/>
      <sheetName val="Macro2"/>
      <sheetName val="Macro3"/>
      <sheetName val="StartUp"/>
      <sheetName val="HS_TDT"/>
      <sheetName val="DMCP"/>
      <sheetName val="~         "/>
      <sheetName val="Cong van 1751"/>
      <sheetName val="Biaky"/>
      <sheetName val="HelpMe"/>
      <sheetName val="TH_DT"/>
      <sheetName val="Dtoan"/>
      <sheetName val="CLVL"/>
      <sheetName val="PTVL"/>
      <sheetName val="Tiendo"/>
      <sheetName val="CS_TDGCT"/>
      <sheetName val="VL"/>
      <sheetName val="VLBTN"/>
      <sheetName val="Coso"/>
      <sheetName val="CapCT"/>
      <sheetName val="Tra2"/>
      <sheetName val="Tra1"/>
      <sheetName val="DieuchinhTKe"/>
      <sheetName val="Tra2_GT"/>
      <sheetName val="Tra1_GT"/>
      <sheetName val="DieuchinhTKe(GT)"/>
      <sheetName val="Bia ngoai"/>
      <sheetName val="Bia trong"/>
      <sheetName val="Thuyetminh"/>
      <sheetName val="TongHopDutoan_GT"/>
      <sheetName val="TonghopDutoan_DD"/>
      <sheetName val="Tra2_DD"/>
      <sheetName val="Tra1_DD"/>
      <sheetName val="DieuchinhTKe(DD)"/>
      <sheetName val="TonghopDutoan_TL"/>
      <sheetName val="THChiphiXD_TBi"/>
      <sheetName val="XL4Test5"/>
      <sheetName val="Thuyet Minh"/>
      <sheetName val="DGCPV"/>
      <sheetName val="THKP"/>
      <sheetName val="THKP Khao sat"/>
      <sheetName val="QLDA1751"/>
      <sheetName val="QLDA1"/>
      <sheetName val="Data"/>
      <sheetName val="XL4Poppy"/>
      <sheetName val="GVLCCT"/>
      <sheetName val="GNC"/>
      <sheetName val="GMXD"/>
      <sheetName val="QLDA"/>
      <sheetName val="Luat XD"/>
      <sheetName val="Mau DGCT"/>
      <sheetName val="Bia Quyet Toan"/>
      <sheetName val="Tra thep hinh"/>
      <sheetName val="Sheet2"/>
      <sheetName val="CPV"/>
      <sheetName val="DUTOAN1"/>
      <sheetName val="QD 957-2009"/>
      <sheetName val="ngoi dong"/>
      <sheetName val="TH tu van"/>
      <sheetName val="xxxxxxxx"/>
      <sheetName val="Vat lieu den chan CT"/>
      <sheetName val="Cuoc VC"/>
      <sheetName val="CanCu"/>
      <sheetName val="GDT"/>
      <sheetName val="DGCT"/>
      <sheetName val="GiaVLDT"/>
      <sheetName val="Vua"/>
      <sheetName val="Phan tich hao phi"/>
      <sheetName val="TH hao phi"/>
      <sheetName val="vcbo"/>
      <sheetName val="Sheet1"/>
      <sheetName val="Config&quot;"/>
      <sheetName val="Phan tich ca may"/>
      <sheetName val="Chenh lech ca may"/>
      <sheetName val="Chiet tinh ca may"/>
      <sheetName val="Tong hop kinh phi tinh ca may"/>
      <sheetName val="TLg LX, LT"/>
      <sheetName val="Bia du toan (2)"/>
      <sheetName val="Van chuyen vat lieu TC"/>
      <sheetName val="Gia vat lieu"/>
      <sheetName val="Chi phi vat lieu"/>
      <sheetName val="Bu nhien lieu"/>
      <sheetName val="00000000"/>
      <sheetName val="Chiet tinh don gia CM"/>
      <sheetName val="Tong hop kinh phi co Bu GCM"/>
      <sheetName val="Tong hop DTCT"/>
      <sheetName val="Tong hop DT CPXD TH"/>
      <sheetName val="TLg Laitau"/>
      <sheetName val="TLg CN&amp;Laixe"/>
      <sheetName val="TLg Laitau (2)"/>
      <sheetName val="TLg CN&amp;Laixe (2)"/>
      <sheetName val="Du toan (2)"/>
      <sheetName val="Tong hop kinh phi (2)"/>
      <sheetName val="Config (2)"/>
      <sheetName val="chi tiet TBA 220,4"/>
      <sheetName val="TH 160"/>
      <sheetName val="Bia  160"/>
      <sheetName val="TH-TBA THAO DO"/>
      <sheetName val="bia THAODO TBA"/>
      <sheetName val="TH thao do 35"/>
      <sheetName val="bia 35 thao do"/>
      <sheetName val="Phuluc 3"/>
      <sheetName val="Phuluc 3.a"/>
      <sheetName val="Phu luc 3.b"/>
      <sheetName val="Phuluc 1"/>
      <sheetName val="CPTV"/>
      <sheetName val="chiet tinh"/>
      <sheetName val="Phu luc 2"/>
      <sheetName val="SL dau tien"/>
      <sheetName val="th CT"/>
      <sheetName val="TKP"/>
      <sheetName val="TH"/>
      <sheetName val="TH dz 22"/>
      <sheetName val="bia 22KV"/>
      <sheetName val="BIA TNGHIEM 22"/>
      <sheetName val="chi tiet dz 22 kv"/>
      <sheetName val="vt 22"/>
      <sheetName val="SLVC-22"/>
      <sheetName val="VCDD_22"/>
      <sheetName val="TONG KE DZ 22 KV"/>
      <sheetName val="trungchuyen DZ"/>
      <sheetName val="DG vat tu"/>
      <sheetName val="TH_NHADIEU KHIEN"/>
      <sheetName val="chi tiet TBA"/>
      <sheetName val="VT_TB TBA"/>
      <sheetName val="TH NT+NT"/>
      <sheetName val="chitietdatdao"/>
      <sheetName val="Bia TBA"/>
      <sheetName val="Bia XD TBA"/>
      <sheetName val="Bia NT+NT TBA"/>
      <sheetName val="Bia Kho Tam"/>
      <sheetName val="Bia PQ Tuyen"/>
      <sheetName val="PQ tuyen"/>
      <sheetName val="CPDB"/>
      <sheetName val="DM 66"/>
      <sheetName val="HSDC GOC"/>
      <sheetName val="DLNS"/>
      <sheetName val="DGVCTC 67"/>
      <sheetName val="vc vat tu CHUNG "/>
      <sheetName val="Gvlcht"/>
      <sheetName val="GT 1m3 BT"/>
      <sheetName val="T T CL VC DZ 22"/>
      <sheetName val="DG 89"/>
      <sheetName val="SLVC TBA"/>
      <sheetName val="VCDD_TBA"/>
      <sheetName val="DM 67"/>
      <sheetName val="DM 85"/>
      <sheetName val="TB"/>
      <sheetName val="Bia lot"/>
      <sheetName val="Bao cao KH"/>
      <sheetName val="Vat tu"/>
      <sheetName val="May"/>
      <sheetName val="Nhan cong"/>
      <sheetName val="TT phi khac"/>
      <sheetName val="Chi phi lan trai"/>
      <sheetName val="Chi phi chung"/>
      <sheetName val="P.A.K.D"/>
      <sheetName val="Bia P.A.K.D"/>
      <sheetName val="Work-Condition"/>
      <sheetName val="Tong hop"/>
      <sheetName val="Xay dung"/>
      <sheetName val="ca may"/>
      <sheetName val="VT"/>
      <sheetName val="NC"/>
      <sheetName val="MTP"/>
      <sheetName val="Bang tra Chi phi khac"/>
      <sheetName val="Chenh lech VT 2"/>
      <sheetName val="Van chuyen 2"/>
      <sheetName val="Khao sat dia hinh"/>
      <sheetName val="Tong hop kinh phi 2"/>
      <sheetName val="Tu van thuyet ke"/>
      <sheetName val="Phan tic( 6a4 4u"/>
      <sheetName val="TM quyet toan"/>
      <sheetName val="Thuyet minh "/>
      <sheetName val="Khoi luong quyet toan"/>
      <sheetName val="Bang Khoi luong"/>
      <sheetName val="Phu luc 02"/>
      <sheetName val="ct"/>
      <sheetName val="Chenh lech va4 tu"/>
      <sheetName val="Tu van Thhet k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1">
          <cell r="A1" t="str">
            <v>Dutoan2001</v>
          </cell>
        </row>
      </sheetData>
      <sheetData sheetId="13" refreshError="1"/>
      <sheetData sheetId="14"/>
      <sheetData sheetId="15"/>
      <sheetData sheetId="16"/>
      <sheetData sheetId="17"/>
      <sheetData sheetId="18"/>
      <sheetData sheetId="19"/>
      <sheetData sheetId="20"/>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sheetData sheetId="185"/>
      <sheetData sheetId="186"/>
      <sheetData sheetId="187"/>
      <sheetData sheetId="188"/>
      <sheetData sheetId="189"/>
      <sheetData sheetId="190"/>
      <sheetData sheetId="191"/>
      <sheetData sheetId="192"/>
      <sheetData sheetId="193" refreshError="1"/>
      <sheetData sheetId="194" refreshError="1"/>
      <sheetData sheetId="195" refreshError="1"/>
      <sheetData sheetId="196" refreshError="1"/>
      <sheetData sheetId="197" refreshError="1"/>
      <sheetData sheetId="198" refreshError="1"/>
      <sheetData sheetId="199"/>
      <sheetData sheetId="200" refreshError="1"/>
      <sheetData sheetId="20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
      <sheetName val="DAT2021_HY"/>
    </sheetNames>
    <definedNames>
      <definedName name="PtichDTL" refersTo="#REF!"/>
      <definedName name="vclcat" refersTo="#REF!"/>
    </definedNames>
    <sheetDataSet>
      <sheetData sheetId="0"/>
      <sheetData sheetId="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12"/>
      <sheetName val="b13"/>
      <sheetName val="b14"/>
      <sheetName val="b15"/>
      <sheetName val="bieu 16"/>
      <sheetName val="b17"/>
      <sheetName val="BIEU 29_TT342"/>
      <sheetName val="B31_TT342"/>
      <sheetName val="BIEU 32_TT342"/>
      <sheetName val="Sheet1"/>
      <sheetName val="Sheet2"/>
    </sheetNames>
    <sheetDataSet>
      <sheetData sheetId="0" refreshError="1"/>
      <sheetData sheetId="1" refreshError="1"/>
      <sheetData sheetId="2" refreshError="1"/>
      <sheetData sheetId="3">
        <row r="34">
          <cell r="E34">
            <v>6774.31</v>
          </cell>
          <cell r="G34">
            <v>0</v>
          </cell>
        </row>
      </sheetData>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ểu số 1 (Tong hop)"/>
      <sheetName val="Quy luong 2022"/>
      <sheetName val="Biểu số 2e"/>
      <sheetName val="4b"/>
      <sheetName val="Dự kiến 2022 (tang)"/>
      <sheetName val="học phí"/>
      <sheetName val="MN"/>
      <sheetName val="TH"/>
      <sheetName val="THCS"/>
      <sheetName val="Sữa học đường"/>
    </sheetNames>
    <sheetDataSet>
      <sheetData sheetId="0" refreshError="1"/>
      <sheetData sheetId="1" refreshError="1">
        <row r="13">
          <cell r="C13">
            <v>28</v>
          </cell>
        </row>
        <row r="55">
          <cell r="C55">
            <v>30</v>
          </cell>
        </row>
        <row r="94">
          <cell r="C94">
            <v>19</v>
          </cell>
        </row>
        <row r="118">
          <cell r="C118">
            <v>19</v>
          </cell>
        </row>
        <row r="143">
          <cell r="C143">
            <v>15</v>
          </cell>
        </row>
        <row r="163">
          <cell r="C163">
            <v>28</v>
          </cell>
        </row>
        <row r="202">
          <cell r="C202">
            <v>16</v>
          </cell>
        </row>
        <row r="224">
          <cell r="C224">
            <v>15</v>
          </cell>
        </row>
        <row r="246">
          <cell r="C246">
            <v>14</v>
          </cell>
        </row>
        <row r="264">
          <cell r="C264">
            <v>14</v>
          </cell>
        </row>
        <row r="283">
          <cell r="C283">
            <v>23</v>
          </cell>
        </row>
        <row r="310">
          <cell r="C310">
            <v>19</v>
          </cell>
        </row>
        <row r="336">
          <cell r="C336">
            <v>26</v>
          </cell>
        </row>
        <row r="370">
          <cell r="C370">
            <v>19</v>
          </cell>
        </row>
        <row r="396">
          <cell r="C396">
            <v>39</v>
          </cell>
        </row>
        <row r="443">
          <cell r="C443">
            <v>21</v>
          </cell>
        </row>
        <row r="470">
          <cell r="C470">
            <v>31</v>
          </cell>
        </row>
        <row r="506">
          <cell r="C506">
            <v>20</v>
          </cell>
        </row>
        <row r="532">
          <cell r="C532">
            <v>22</v>
          </cell>
        </row>
        <row r="564">
          <cell r="C564">
            <v>36</v>
          </cell>
        </row>
        <row r="606">
          <cell r="C606">
            <v>30</v>
          </cell>
        </row>
        <row r="645">
          <cell r="C645">
            <v>31</v>
          </cell>
        </row>
        <row r="683">
          <cell r="C683">
            <v>39</v>
          </cell>
        </row>
        <row r="737">
          <cell r="C737">
            <v>42</v>
          </cell>
        </row>
        <row r="792">
          <cell r="C792">
            <v>31</v>
          </cell>
        </row>
        <row r="832">
          <cell r="C832">
            <v>33</v>
          </cell>
        </row>
        <row r="873">
          <cell r="C873">
            <v>37</v>
          </cell>
        </row>
        <row r="920">
          <cell r="C920">
            <v>30</v>
          </cell>
        </row>
        <row r="957">
          <cell r="C957">
            <v>53</v>
          </cell>
        </row>
        <row r="1022">
          <cell r="C1022">
            <v>22</v>
          </cell>
        </row>
        <row r="1055">
          <cell r="C1055">
            <v>30</v>
          </cell>
        </row>
        <row r="1100">
          <cell r="C1100">
            <v>28</v>
          </cell>
        </row>
        <row r="1137">
          <cell r="C1137">
            <v>27</v>
          </cell>
        </row>
        <row r="1171">
          <cell r="C1171">
            <v>26</v>
          </cell>
        </row>
        <row r="1206">
          <cell r="C1206">
            <v>19</v>
          </cell>
        </row>
        <row r="1234">
          <cell r="C1234">
            <v>35</v>
          </cell>
        </row>
        <row r="1277">
          <cell r="C1277">
            <v>40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4"/>
  <sheetViews>
    <sheetView workbookViewId="0">
      <pane xSplit="3" ySplit="7" topLeftCell="D50" activePane="bottomRight" state="frozen"/>
      <selection pane="topRight" activeCell="D1" sqref="D1"/>
      <selection pane="bottomLeft" activeCell="A8" sqref="A8"/>
      <selection pane="bottomRight" activeCell="H59" sqref="H59"/>
    </sheetView>
  </sheetViews>
  <sheetFormatPr defaultColWidth="9.140625" defaultRowHeight="15.75"/>
  <cols>
    <col min="1" max="1" width="4.28515625" style="62" customWidth="1"/>
    <col min="2" max="2" width="45.7109375" style="62" customWidth="1"/>
    <col min="3" max="3" width="10" style="367" customWidth="1"/>
    <col min="4" max="5" width="10" style="368" customWidth="1"/>
    <col min="6" max="6" width="10" style="369" customWidth="1"/>
    <col min="7" max="8" width="10" style="62" customWidth="1"/>
    <col min="9" max="16384" width="9.140625" style="62"/>
  </cols>
  <sheetData>
    <row r="1" spans="1:8" s="344" customFormat="1">
      <c r="A1" s="343" t="s">
        <v>0</v>
      </c>
      <c r="C1" s="345"/>
      <c r="D1" s="84"/>
      <c r="E1" s="84"/>
      <c r="F1" s="533" t="s">
        <v>1</v>
      </c>
      <c r="G1" s="533"/>
      <c r="H1" s="533"/>
    </row>
    <row r="2" spans="1:8">
      <c r="A2" s="534" t="s">
        <v>2</v>
      </c>
      <c r="B2" s="534"/>
      <c r="C2" s="534"/>
      <c r="D2" s="534"/>
      <c r="E2" s="534"/>
      <c r="F2" s="534"/>
      <c r="G2" s="534"/>
      <c r="H2" s="534"/>
    </row>
    <row r="3" spans="1:8">
      <c r="B3" s="346"/>
      <c r="C3" s="347"/>
      <c r="D3" s="88"/>
      <c r="E3" s="88"/>
      <c r="F3" s="87"/>
      <c r="G3" s="348"/>
      <c r="H3" s="348" t="s">
        <v>3</v>
      </c>
    </row>
    <row r="4" spans="1:8" ht="28.5" customHeight="1">
      <c r="A4" s="535" t="s">
        <v>4</v>
      </c>
      <c r="B4" s="535" t="s">
        <v>5</v>
      </c>
      <c r="C4" s="536" t="s">
        <v>6</v>
      </c>
      <c r="D4" s="537" t="s">
        <v>7</v>
      </c>
      <c r="E4" s="539"/>
      <c r="F4" s="538"/>
      <c r="G4" s="537" t="s">
        <v>8</v>
      </c>
      <c r="H4" s="538"/>
    </row>
    <row r="5" spans="1:8" ht="42.75">
      <c r="A5" s="535"/>
      <c r="B5" s="535"/>
      <c r="C5" s="536"/>
      <c r="D5" s="342" t="s">
        <v>647</v>
      </c>
      <c r="E5" s="342" t="s">
        <v>642</v>
      </c>
      <c r="F5" s="341" t="s">
        <v>10</v>
      </c>
      <c r="G5" s="349" t="s">
        <v>643</v>
      </c>
      <c r="H5" s="349" t="s">
        <v>644</v>
      </c>
    </row>
    <row r="6" spans="1:8">
      <c r="A6" s="350" t="s">
        <v>11</v>
      </c>
      <c r="B6" s="350" t="s">
        <v>12</v>
      </c>
      <c r="C6" s="142">
        <v>1</v>
      </c>
      <c r="D6" s="142">
        <v>2</v>
      </c>
      <c r="E6" s="142">
        <v>3</v>
      </c>
      <c r="F6" s="142">
        <v>4</v>
      </c>
      <c r="G6" s="142">
        <v>5</v>
      </c>
      <c r="H6" s="142">
        <v>6</v>
      </c>
    </row>
    <row r="7" spans="1:8">
      <c r="A7" s="351"/>
      <c r="B7" s="352" t="s">
        <v>13</v>
      </c>
      <c r="C7" s="107">
        <f t="shared" ref="C7:H7" si="0">C8+C79</f>
        <v>163652.948087</v>
      </c>
      <c r="D7" s="107">
        <f t="shared" si="0"/>
        <v>144370</v>
      </c>
      <c r="E7" s="107">
        <f t="shared" si="0"/>
        <v>144370</v>
      </c>
      <c r="F7" s="111">
        <f>F8+F79</f>
        <v>140275.24361400001</v>
      </c>
      <c r="G7" s="107">
        <f t="shared" si="0"/>
        <v>117820</v>
      </c>
      <c r="H7" s="107">
        <f t="shared" si="0"/>
        <v>216220</v>
      </c>
    </row>
    <row r="8" spans="1:8">
      <c r="A8" s="352" t="s">
        <v>14</v>
      </c>
      <c r="B8" s="353" t="s">
        <v>15</v>
      </c>
      <c r="C8" s="107">
        <f t="shared" ref="C8:H8" si="1">C9+C24+C36+C42+C43+C46+C47+C54+C69+C70+C72+C75+C76</f>
        <v>163652.948087</v>
      </c>
      <c r="D8" s="107">
        <f t="shared" si="1"/>
        <v>144370</v>
      </c>
      <c r="E8" s="107">
        <f t="shared" si="1"/>
        <v>144370</v>
      </c>
      <c r="F8" s="111">
        <f>F9+F24+F36+F42+F43+F46+F47+F54+F69+F70+F72+F75+F76</f>
        <v>140275.24361400001</v>
      </c>
      <c r="G8" s="107">
        <f t="shared" si="1"/>
        <v>117820</v>
      </c>
      <c r="H8" s="107">
        <f t="shared" si="1"/>
        <v>216220</v>
      </c>
    </row>
    <row r="9" spans="1:8">
      <c r="A9" s="351">
        <v>1</v>
      </c>
      <c r="B9" s="354" t="s">
        <v>16</v>
      </c>
      <c r="C9" s="98">
        <f t="shared" ref="C9:H9" si="2">C10+C18</f>
        <v>9190.5780000000013</v>
      </c>
      <c r="D9" s="98">
        <f t="shared" si="2"/>
        <v>8440</v>
      </c>
      <c r="E9" s="98">
        <f t="shared" si="2"/>
        <v>8440</v>
      </c>
      <c r="F9" s="102">
        <f>F10+F18</f>
        <v>9090.096614</v>
      </c>
      <c r="G9" s="98">
        <f t="shared" si="2"/>
        <v>9050</v>
      </c>
      <c r="H9" s="98">
        <f t="shared" si="2"/>
        <v>9050</v>
      </c>
    </row>
    <row r="10" spans="1:8" ht="30">
      <c r="A10" s="351" t="s">
        <v>17</v>
      </c>
      <c r="B10" s="354" t="s">
        <v>18</v>
      </c>
      <c r="C10" s="98">
        <f t="shared" ref="C10:H10" si="3">C11+C13+C14+C16</f>
        <v>8789.2970000000005</v>
      </c>
      <c r="D10" s="98">
        <f t="shared" si="3"/>
        <v>8090</v>
      </c>
      <c r="E10" s="98">
        <f t="shared" si="3"/>
        <v>8090</v>
      </c>
      <c r="F10" s="102">
        <f>F11+F13+F14+F16</f>
        <v>8540.0093240000006</v>
      </c>
      <c r="G10" s="98">
        <f t="shared" si="3"/>
        <v>8540</v>
      </c>
      <c r="H10" s="98">
        <f t="shared" si="3"/>
        <v>8540</v>
      </c>
    </row>
    <row r="11" spans="1:8">
      <c r="A11" s="351"/>
      <c r="B11" s="354" t="s">
        <v>19</v>
      </c>
      <c r="C11" s="355">
        <v>8772.5709999999999</v>
      </c>
      <c r="D11" s="98">
        <v>8070</v>
      </c>
      <c r="E11" s="98">
        <v>8070</v>
      </c>
      <c r="F11" s="102">
        <v>8525</v>
      </c>
      <c r="G11" s="98">
        <f>8525</f>
        <v>8525</v>
      </c>
      <c r="H11" s="98">
        <f>8525</f>
        <v>8525</v>
      </c>
    </row>
    <row r="12" spans="1:8" ht="30">
      <c r="A12" s="351"/>
      <c r="B12" s="356" t="s">
        <v>20</v>
      </c>
      <c r="C12" s="98"/>
      <c r="D12" s="98"/>
      <c r="E12" s="98"/>
      <c r="F12" s="102"/>
      <c r="G12" s="98"/>
      <c r="H12" s="98"/>
    </row>
    <row r="13" spans="1:8">
      <c r="A13" s="351"/>
      <c r="B13" s="354" t="s">
        <v>21</v>
      </c>
      <c r="C13" s="98"/>
      <c r="D13" s="98"/>
      <c r="E13" s="98"/>
      <c r="F13" s="102"/>
      <c r="G13" s="98"/>
      <c r="H13" s="98"/>
    </row>
    <row r="14" spans="1:8" ht="21" customHeight="1">
      <c r="A14" s="351"/>
      <c r="B14" s="354" t="s">
        <v>22</v>
      </c>
      <c r="C14" s="98"/>
      <c r="D14" s="98"/>
      <c r="E14" s="98"/>
      <c r="F14" s="102"/>
      <c r="G14" s="98"/>
      <c r="H14" s="98"/>
    </row>
    <row r="15" spans="1:8" ht="33.75" customHeight="1">
      <c r="A15" s="351"/>
      <c r="B15" s="356" t="s">
        <v>23</v>
      </c>
      <c r="C15" s="98"/>
      <c r="D15" s="98"/>
      <c r="E15" s="98"/>
      <c r="F15" s="102"/>
      <c r="G15" s="98"/>
      <c r="H15" s="98"/>
    </row>
    <row r="16" spans="1:8">
      <c r="A16" s="351"/>
      <c r="B16" s="354" t="s">
        <v>24</v>
      </c>
      <c r="C16" s="355">
        <v>16.725999999999999</v>
      </c>
      <c r="D16" s="98">
        <v>20</v>
      </c>
      <c r="E16" s="98">
        <v>20</v>
      </c>
      <c r="F16" s="102">
        <v>15.009323999999999</v>
      </c>
      <c r="G16" s="98">
        <v>15</v>
      </c>
      <c r="H16" s="98">
        <v>15</v>
      </c>
    </row>
    <row r="17" spans="1:8">
      <c r="A17" s="351"/>
      <c r="B17" s="356" t="s">
        <v>25</v>
      </c>
      <c r="C17" s="98"/>
      <c r="D17" s="98"/>
      <c r="E17" s="98"/>
      <c r="F17" s="102"/>
      <c r="G17" s="98"/>
      <c r="H17" s="98"/>
    </row>
    <row r="18" spans="1:8" ht="30">
      <c r="A18" s="351" t="s">
        <v>26</v>
      </c>
      <c r="B18" s="354" t="s">
        <v>27</v>
      </c>
      <c r="C18" s="98">
        <f t="shared" ref="C18:H18" si="4">C19+C20+C21+C23</f>
        <v>401.28100000000001</v>
      </c>
      <c r="D18" s="98">
        <f t="shared" si="4"/>
        <v>350</v>
      </c>
      <c r="E18" s="98">
        <f t="shared" si="4"/>
        <v>350</v>
      </c>
      <c r="F18" s="102">
        <f>F19+F20+F21+F23</f>
        <v>550.08729000000005</v>
      </c>
      <c r="G18" s="98">
        <f t="shared" si="4"/>
        <v>510</v>
      </c>
      <c r="H18" s="98">
        <f t="shared" si="4"/>
        <v>510</v>
      </c>
    </row>
    <row r="19" spans="1:8">
      <c r="A19" s="351"/>
      <c r="B19" s="354" t="s">
        <v>19</v>
      </c>
      <c r="C19" s="98">
        <v>147.16499999999999</v>
      </c>
      <c r="D19" s="98">
        <v>170</v>
      </c>
      <c r="E19" s="98">
        <v>170</v>
      </c>
      <c r="F19" s="102">
        <v>259.85000000000002</v>
      </c>
      <c r="G19" s="98">
        <f>210</f>
        <v>210</v>
      </c>
      <c r="H19" s="98">
        <f>210</f>
        <v>210</v>
      </c>
    </row>
    <row r="20" spans="1:8">
      <c r="A20" s="351"/>
      <c r="B20" s="354" t="s">
        <v>21</v>
      </c>
      <c r="C20" s="98">
        <v>202.119</v>
      </c>
      <c r="D20" s="98">
        <v>130</v>
      </c>
      <c r="E20" s="98">
        <v>130</v>
      </c>
      <c r="F20" s="102">
        <v>250</v>
      </c>
      <c r="G20" s="98">
        <f>220+30</f>
        <v>250</v>
      </c>
      <c r="H20" s="98">
        <f>220+30</f>
        <v>250</v>
      </c>
    </row>
    <row r="21" spans="1:8" ht="21" customHeight="1">
      <c r="A21" s="351"/>
      <c r="B21" s="354" t="s">
        <v>22</v>
      </c>
      <c r="C21" s="98"/>
      <c r="D21" s="98"/>
      <c r="E21" s="98"/>
      <c r="F21" s="102"/>
      <c r="G21" s="98"/>
      <c r="H21" s="98"/>
    </row>
    <row r="22" spans="1:8" ht="32.25" customHeight="1">
      <c r="A22" s="351"/>
      <c r="B22" s="356" t="s">
        <v>23</v>
      </c>
      <c r="C22" s="98"/>
      <c r="D22" s="98"/>
      <c r="E22" s="98"/>
      <c r="F22" s="102"/>
      <c r="G22" s="98"/>
      <c r="H22" s="98"/>
    </row>
    <row r="23" spans="1:8">
      <c r="A23" s="351"/>
      <c r="B23" s="354" t="s">
        <v>24</v>
      </c>
      <c r="C23" s="98">
        <v>51.997</v>
      </c>
      <c r="D23" s="98">
        <v>50</v>
      </c>
      <c r="E23" s="98">
        <v>50</v>
      </c>
      <c r="F23" s="102">
        <v>40.237290000000002</v>
      </c>
      <c r="G23" s="98">
        <f>20+30</f>
        <v>50</v>
      </c>
      <c r="H23" s="98">
        <f>20+30</f>
        <v>50</v>
      </c>
    </row>
    <row r="24" spans="1:8" ht="30">
      <c r="A24" s="351">
        <v>2</v>
      </c>
      <c r="B24" s="354" t="s">
        <v>28</v>
      </c>
      <c r="C24" s="98">
        <f>C25+C27+C29+C30+C32+C34</f>
        <v>0</v>
      </c>
      <c r="D24" s="98">
        <f t="shared" ref="D24" si="5">D25+D27+D29+D30+D32+D34</f>
        <v>0</v>
      </c>
      <c r="E24" s="98">
        <f t="shared" ref="E24:H24" si="6">E25+E27+E29+E30+E32+E34</f>
        <v>0</v>
      </c>
      <c r="F24" s="102">
        <f t="shared" si="6"/>
        <v>77.385000000000005</v>
      </c>
      <c r="G24" s="98">
        <f t="shared" ref="G24" si="7">G25+G27+G29+G30+G32+G34</f>
        <v>0</v>
      </c>
      <c r="H24" s="98">
        <f t="shared" si="6"/>
        <v>0</v>
      </c>
    </row>
    <row r="25" spans="1:8">
      <c r="A25" s="351"/>
      <c r="B25" s="354" t="s">
        <v>19</v>
      </c>
      <c r="C25" s="357"/>
      <c r="D25" s="98"/>
      <c r="E25" s="98"/>
      <c r="F25" s="358">
        <v>77.385000000000005</v>
      </c>
      <c r="G25" s="98"/>
      <c r="H25" s="98"/>
    </row>
    <row r="26" spans="1:8" ht="30">
      <c r="A26" s="351"/>
      <c r="B26" s="356" t="s">
        <v>29</v>
      </c>
      <c r="C26" s="98"/>
      <c r="D26" s="98"/>
      <c r="E26" s="98"/>
      <c r="F26" s="359"/>
      <c r="G26" s="98"/>
      <c r="H26" s="98"/>
    </row>
    <row r="27" spans="1:8">
      <c r="A27" s="351"/>
      <c r="B27" s="354" t="s">
        <v>21</v>
      </c>
      <c r="C27" s="357"/>
      <c r="D27" s="98"/>
      <c r="E27" s="98"/>
      <c r="F27" s="102"/>
      <c r="G27" s="98"/>
      <c r="H27" s="98"/>
    </row>
    <row r="28" spans="1:8" ht="30">
      <c r="A28" s="351"/>
      <c r="B28" s="356" t="s">
        <v>29</v>
      </c>
      <c r="C28" s="98"/>
      <c r="D28" s="98"/>
      <c r="E28" s="98"/>
      <c r="F28" s="102"/>
      <c r="G28" s="98"/>
      <c r="H28" s="98"/>
    </row>
    <row r="29" spans="1:8">
      <c r="A29" s="351"/>
      <c r="B29" s="354" t="s">
        <v>30</v>
      </c>
      <c r="C29" s="98"/>
      <c r="D29" s="98"/>
      <c r="E29" s="98"/>
      <c r="F29" s="102"/>
      <c r="G29" s="98"/>
      <c r="H29" s="98"/>
    </row>
    <row r="30" spans="1:8">
      <c r="A30" s="351"/>
      <c r="B30" s="354" t="s">
        <v>31</v>
      </c>
      <c r="C30" s="357"/>
      <c r="D30" s="98"/>
      <c r="E30" s="98"/>
      <c r="F30" s="102"/>
      <c r="G30" s="98"/>
      <c r="H30" s="98"/>
    </row>
    <row r="31" spans="1:8" ht="45">
      <c r="A31" s="351"/>
      <c r="B31" s="356" t="s">
        <v>23</v>
      </c>
      <c r="C31" s="98"/>
      <c r="D31" s="98"/>
      <c r="E31" s="98"/>
      <c r="F31" s="102"/>
      <c r="G31" s="98"/>
      <c r="H31" s="98"/>
    </row>
    <row r="32" spans="1:8">
      <c r="A32" s="351"/>
      <c r="B32" s="354" t="s">
        <v>24</v>
      </c>
      <c r="C32" s="357"/>
      <c r="D32" s="98"/>
      <c r="E32" s="98"/>
      <c r="F32" s="102"/>
      <c r="G32" s="98"/>
      <c r="H32" s="98"/>
    </row>
    <row r="33" spans="1:8">
      <c r="A33" s="351"/>
      <c r="B33" s="356" t="s">
        <v>25</v>
      </c>
      <c r="C33" s="98"/>
      <c r="D33" s="98"/>
      <c r="E33" s="98"/>
      <c r="F33" s="102"/>
      <c r="G33" s="98"/>
      <c r="H33" s="98"/>
    </row>
    <row r="34" spans="1:8">
      <c r="A34" s="351"/>
      <c r="B34" s="354" t="s">
        <v>32</v>
      </c>
      <c r="C34" s="98"/>
      <c r="D34" s="98"/>
      <c r="E34" s="98"/>
      <c r="F34" s="102"/>
      <c r="G34" s="98"/>
      <c r="H34" s="98"/>
    </row>
    <row r="35" spans="1:8" ht="30">
      <c r="A35" s="351"/>
      <c r="B35" s="356" t="s">
        <v>29</v>
      </c>
      <c r="C35" s="98"/>
      <c r="D35" s="98"/>
      <c r="E35" s="98"/>
      <c r="F35" s="102"/>
      <c r="G35" s="98"/>
      <c r="H35" s="98"/>
    </row>
    <row r="36" spans="1:8">
      <c r="A36" s="351">
        <v>3</v>
      </c>
      <c r="B36" s="354" t="s">
        <v>33</v>
      </c>
      <c r="C36" s="98">
        <f>SUM(C37:C41)</f>
        <v>107273.40169100001</v>
      </c>
      <c r="D36" s="98">
        <f>D37+D38+D39+D41</f>
        <v>71500</v>
      </c>
      <c r="E36" s="98">
        <f>E37+E38+E39+E41</f>
        <v>71500</v>
      </c>
      <c r="F36" s="102">
        <f>F37+F38+F39+F41</f>
        <v>84789.372000000003</v>
      </c>
      <c r="G36" s="98">
        <f>G37+G38+G39+G41</f>
        <v>81640</v>
      </c>
      <c r="H36" s="98">
        <f>H37+H38+H39+H41</f>
        <v>90640</v>
      </c>
    </row>
    <row r="37" spans="1:8">
      <c r="A37" s="351"/>
      <c r="B37" s="354" t="s">
        <v>19</v>
      </c>
      <c r="C37" s="98">
        <v>106079.198</v>
      </c>
      <c r="D37" s="98">
        <v>70620</v>
      </c>
      <c r="E37" s="98">
        <v>70620</v>
      </c>
      <c r="F37" s="102">
        <v>83600</v>
      </c>
      <c r="G37" s="98">
        <f>59500+21000</f>
        <v>80500</v>
      </c>
      <c r="H37" s="98">
        <f>59500+30000</f>
        <v>89500</v>
      </c>
    </row>
    <row r="38" spans="1:8">
      <c r="A38" s="351"/>
      <c r="B38" s="354" t="s">
        <v>21</v>
      </c>
      <c r="C38" s="98">
        <v>234.691</v>
      </c>
      <c r="D38" s="98">
        <v>200</v>
      </c>
      <c r="E38" s="98">
        <v>200</v>
      </c>
      <c r="F38" s="102">
        <v>494.3</v>
      </c>
      <c r="G38" s="98">
        <f>20+400</f>
        <v>420</v>
      </c>
      <c r="H38" s="98">
        <f>20+400</f>
        <v>420</v>
      </c>
    </row>
    <row r="39" spans="1:8">
      <c r="A39" s="351"/>
      <c r="B39" s="354" t="s">
        <v>31</v>
      </c>
      <c r="C39" s="98">
        <v>33.875691000000003</v>
      </c>
      <c r="D39" s="98">
        <v>40</v>
      </c>
      <c r="E39" s="98">
        <v>40</v>
      </c>
      <c r="F39" s="102">
        <v>40</v>
      </c>
      <c r="G39" s="98">
        <v>40</v>
      </c>
      <c r="H39" s="98">
        <v>40</v>
      </c>
    </row>
    <row r="40" spans="1:8" ht="33" customHeight="1">
      <c r="A40" s="351"/>
      <c r="B40" s="356" t="s">
        <v>23</v>
      </c>
      <c r="C40" s="98"/>
      <c r="D40" s="98"/>
      <c r="E40" s="98"/>
      <c r="F40" s="102"/>
      <c r="G40" s="98"/>
      <c r="H40" s="98"/>
    </row>
    <row r="41" spans="1:8">
      <c r="A41" s="351"/>
      <c r="B41" s="354" t="s">
        <v>24</v>
      </c>
      <c r="C41" s="98">
        <v>925.63699999999994</v>
      </c>
      <c r="D41" s="98">
        <v>640</v>
      </c>
      <c r="E41" s="98">
        <v>640</v>
      </c>
      <c r="F41" s="102">
        <v>655.072</v>
      </c>
      <c r="G41" s="98">
        <f>120+560</f>
        <v>680</v>
      </c>
      <c r="H41" s="98">
        <f>120+560</f>
        <v>680</v>
      </c>
    </row>
    <row r="42" spans="1:8">
      <c r="A42" s="351">
        <v>4</v>
      </c>
      <c r="B42" s="354" t="s">
        <v>34</v>
      </c>
      <c r="C42" s="98">
        <v>4010.489</v>
      </c>
      <c r="D42" s="98">
        <v>5500</v>
      </c>
      <c r="E42" s="98">
        <v>5500</v>
      </c>
      <c r="F42" s="102">
        <v>5500</v>
      </c>
      <c r="G42" s="98">
        <f>1300+4000</f>
        <v>5300</v>
      </c>
      <c r="H42" s="98">
        <f>1300+4000</f>
        <v>5300</v>
      </c>
    </row>
    <row r="43" spans="1:8">
      <c r="A43" s="351">
        <v>5</v>
      </c>
      <c r="B43" s="354" t="s">
        <v>35</v>
      </c>
      <c r="C43" s="98"/>
      <c r="D43" s="98"/>
      <c r="E43" s="98"/>
      <c r="F43" s="102"/>
      <c r="G43" s="98"/>
      <c r="H43" s="98"/>
    </row>
    <row r="44" spans="1:8">
      <c r="A44" s="351"/>
      <c r="B44" s="356" t="s">
        <v>36</v>
      </c>
      <c r="C44" s="98"/>
      <c r="D44" s="98"/>
      <c r="E44" s="98"/>
      <c r="F44" s="102"/>
      <c r="G44" s="98"/>
      <c r="H44" s="98"/>
    </row>
    <row r="45" spans="1:8">
      <c r="A45" s="351"/>
      <c r="B45" s="356" t="s">
        <v>37</v>
      </c>
      <c r="C45" s="98"/>
      <c r="D45" s="98"/>
      <c r="E45" s="98"/>
      <c r="F45" s="102"/>
      <c r="G45" s="98"/>
      <c r="H45" s="98"/>
    </row>
    <row r="46" spans="1:8">
      <c r="A46" s="351">
        <v>6</v>
      </c>
      <c r="B46" s="354" t="s">
        <v>38</v>
      </c>
      <c r="C46" s="98">
        <v>3591.6485359999997</v>
      </c>
      <c r="D46" s="98">
        <v>4500</v>
      </c>
      <c r="E46" s="98">
        <v>4500</v>
      </c>
      <c r="F46" s="102">
        <v>4500</v>
      </c>
      <c r="G46" s="98">
        <f>4500</f>
        <v>4500</v>
      </c>
      <c r="H46" s="98">
        <f>4500</f>
        <v>4500</v>
      </c>
    </row>
    <row r="47" spans="1:8">
      <c r="A47" s="351">
        <v>7</v>
      </c>
      <c r="B47" s="354" t="s">
        <v>39</v>
      </c>
      <c r="C47" s="98">
        <f>C48+C49+C50+C52</f>
        <v>1295.8047919999999</v>
      </c>
      <c r="D47" s="98">
        <v>1250</v>
      </c>
      <c r="E47" s="98">
        <v>1250</v>
      </c>
      <c r="F47" s="102">
        <f>F48+F49+F50+F52</f>
        <v>1250</v>
      </c>
      <c r="G47" s="98">
        <f>50+1300</f>
        <v>1350</v>
      </c>
      <c r="H47" s="98">
        <f>50+1300</f>
        <v>1350</v>
      </c>
    </row>
    <row r="48" spans="1:8">
      <c r="A48" s="360" t="s">
        <v>257</v>
      </c>
      <c r="B48" s="354" t="s">
        <v>40</v>
      </c>
      <c r="C48" s="98">
        <v>241.51794799999999</v>
      </c>
      <c r="D48" s="98"/>
      <c r="E48" s="98"/>
      <c r="F48" s="102">
        <v>106</v>
      </c>
      <c r="G48" s="98">
        <f>50</f>
        <v>50</v>
      </c>
      <c r="H48" s="98">
        <f>50</f>
        <v>50</v>
      </c>
    </row>
    <row r="49" spans="1:8">
      <c r="A49" s="360" t="s">
        <v>257</v>
      </c>
      <c r="B49" s="354" t="s">
        <v>41</v>
      </c>
      <c r="C49" s="98">
        <v>85.222120000000004</v>
      </c>
      <c r="D49" s="98"/>
      <c r="E49" s="98"/>
      <c r="F49" s="102"/>
      <c r="G49" s="98"/>
      <c r="H49" s="98"/>
    </row>
    <row r="50" spans="1:8">
      <c r="A50" s="360" t="s">
        <v>257</v>
      </c>
      <c r="B50" s="354" t="s">
        <v>42</v>
      </c>
      <c r="C50" s="98">
        <v>738.32272399999999</v>
      </c>
      <c r="D50" s="98">
        <v>1250</v>
      </c>
      <c r="E50" s="98">
        <v>1250</v>
      </c>
      <c r="F50" s="102">
        <f>790+34</f>
        <v>824</v>
      </c>
      <c r="G50" s="98">
        <v>1000</v>
      </c>
      <c r="H50" s="98">
        <v>1000</v>
      </c>
    </row>
    <row r="51" spans="1:8" ht="30">
      <c r="A51" s="351"/>
      <c r="B51" s="356" t="s">
        <v>44</v>
      </c>
      <c r="C51" s="98">
        <v>455.75744400000002</v>
      </c>
      <c r="D51" s="98">
        <v>300</v>
      </c>
      <c r="E51" s="98">
        <v>300</v>
      </c>
      <c r="F51" s="102">
        <v>300</v>
      </c>
      <c r="G51" s="98">
        <v>300</v>
      </c>
      <c r="H51" s="98">
        <v>300</v>
      </c>
    </row>
    <row r="52" spans="1:8">
      <c r="A52" s="360" t="s">
        <v>257</v>
      </c>
      <c r="B52" s="354" t="s">
        <v>43</v>
      </c>
      <c r="C52" s="98">
        <v>230.74199999999999</v>
      </c>
      <c r="D52" s="98"/>
      <c r="E52" s="98"/>
      <c r="F52" s="102">
        <v>320</v>
      </c>
      <c r="G52" s="98">
        <v>300</v>
      </c>
      <c r="H52" s="98">
        <v>300</v>
      </c>
    </row>
    <row r="53" spans="1:8">
      <c r="A53" s="351"/>
      <c r="B53" s="356"/>
      <c r="C53" s="98"/>
      <c r="D53" s="98"/>
      <c r="E53" s="98"/>
      <c r="F53" s="102"/>
      <c r="G53" s="98"/>
      <c r="H53" s="98"/>
    </row>
    <row r="54" spans="1:8" ht="30">
      <c r="A54" s="351">
        <v>8</v>
      </c>
      <c r="B54" s="354" t="s">
        <v>45</v>
      </c>
      <c r="C54" s="98">
        <f t="shared" ref="C54:H54" si="8">SUM(C55:C59)+C62+C65+C68</f>
        <v>37039.20061</v>
      </c>
      <c r="D54" s="98">
        <f t="shared" si="8"/>
        <v>51750</v>
      </c>
      <c r="E54" s="98">
        <f t="shared" si="8"/>
        <v>51750</v>
      </c>
      <c r="F54" s="102">
        <f>SUM(F55:F59)+F62+F65+F68</f>
        <v>33471.620000000003</v>
      </c>
      <c r="G54" s="98">
        <f t="shared" si="8"/>
        <v>14380</v>
      </c>
      <c r="H54" s="98">
        <f t="shared" si="8"/>
        <v>103780</v>
      </c>
    </row>
    <row r="55" spans="1:8" hidden="1">
      <c r="A55" s="351"/>
      <c r="B55" s="354" t="s">
        <v>46</v>
      </c>
      <c r="C55" s="98"/>
      <c r="D55" s="98"/>
      <c r="E55" s="98"/>
      <c r="F55" s="102"/>
      <c r="G55" s="98"/>
      <c r="H55" s="98"/>
    </row>
    <row r="56" spans="1:8">
      <c r="A56" s="351"/>
      <c r="B56" s="354" t="s">
        <v>47</v>
      </c>
      <c r="C56" s="98">
        <v>16.72174</v>
      </c>
      <c r="D56" s="98">
        <v>30</v>
      </c>
      <c r="E56" s="98">
        <v>30</v>
      </c>
      <c r="F56" s="102">
        <v>19.239999999999998</v>
      </c>
      <c r="G56" s="98">
        <v>30</v>
      </c>
      <c r="H56" s="98">
        <v>30</v>
      </c>
    </row>
    <row r="57" spans="1:8">
      <c r="A57" s="351"/>
      <c r="B57" s="354" t="s">
        <v>48</v>
      </c>
      <c r="C57" s="98">
        <v>321.15845200000001</v>
      </c>
      <c r="D57" s="98">
        <v>1720</v>
      </c>
      <c r="E57" s="98">
        <v>1720</v>
      </c>
      <c r="F57" s="102">
        <v>1760</v>
      </c>
      <c r="G57" s="98">
        <f>2100+250</f>
        <v>2350</v>
      </c>
      <c r="H57" s="98">
        <f>2100+250</f>
        <v>2350</v>
      </c>
    </row>
    <row r="58" spans="1:8">
      <c r="A58" s="351"/>
      <c r="B58" s="354" t="s">
        <v>49</v>
      </c>
      <c r="C58" s="98">
        <v>36701.320418000003</v>
      </c>
      <c r="D58" s="98">
        <v>50000</v>
      </c>
      <c r="E58" s="98">
        <v>50000</v>
      </c>
      <c r="F58" s="102">
        <v>31692.38</v>
      </c>
      <c r="G58" s="98">
        <v>12000</v>
      </c>
      <c r="H58" s="98">
        <v>101400</v>
      </c>
    </row>
    <row r="59" spans="1:8">
      <c r="A59" s="351"/>
      <c r="B59" s="354" t="s">
        <v>50</v>
      </c>
      <c r="C59" s="98"/>
      <c r="D59" s="98"/>
      <c r="E59" s="98"/>
      <c r="F59" s="102"/>
      <c r="G59" s="98"/>
      <c r="H59" s="98"/>
    </row>
    <row r="60" spans="1:8" ht="30">
      <c r="A60" s="351"/>
      <c r="B60" s="356" t="s">
        <v>51</v>
      </c>
      <c r="C60" s="98"/>
      <c r="D60" s="98"/>
      <c r="E60" s="98"/>
      <c r="F60" s="102"/>
      <c r="G60" s="98"/>
      <c r="H60" s="98"/>
    </row>
    <row r="61" spans="1:8" ht="30">
      <c r="A61" s="351"/>
      <c r="B61" s="356" t="s">
        <v>52</v>
      </c>
      <c r="C61" s="98"/>
      <c r="D61" s="98"/>
      <c r="E61" s="98"/>
      <c r="F61" s="102"/>
      <c r="G61" s="98"/>
      <c r="H61" s="98"/>
    </row>
    <row r="62" spans="1:8" ht="45">
      <c r="A62" s="351"/>
      <c r="B62" s="354" t="s">
        <v>53</v>
      </c>
      <c r="C62" s="98"/>
      <c r="D62" s="98"/>
      <c r="E62" s="98"/>
      <c r="F62" s="102"/>
      <c r="G62" s="98"/>
      <c r="H62" s="98"/>
    </row>
    <row r="63" spans="1:8" ht="30">
      <c r="A63" s="351"/>
      <c r="B63" s="356" t="s">
        <v>54</v>
      </c>
      <c r="C63" s="98"/>
      <c r="D63" s="98"/>
      <c r="E63" s="98"/>
      <c r="F63" s="102"/>
      <c r="G63" s="98"/>
      <c r="H63" s="98"/>
    </row>
    <row r="64" spans="1:8" ht="30">
      <c r="A64" s="351"/>
      <c r="B64" s="356" t="s">
        <v>55</v>
      </c>
      <c r="C64" s="98"/>
      <c r="D64" s="98"/>
      <c r="E64" s="98"/>
      <c r="F64" s="102"/>
      <c r="G64" s="98"/>
      <c r="H64" s="98"/>
    </row>
    <row r="65" spans="1:8" ht="30">
      <c r="A65" s="351"/>
      <c r="B65" s="354" t="s">
        <v>56</v>
      </c>
      <c r="C65" s="98"/>
      <c r="D65" s="98"/>
      <c r="E65" s="98"/>
      <c r="F65" s="102"/>
      <c r="G65" s="98"/>
      <c r="H65" s="98"/>
    </row>
    <row r="66" spans="1:8" ht="30">
      <c r="A66" s="351"/>
      <c r="B66" s="356" t="s">
        <v>57</v>
      </c>
      <c r="C66" s="98"/>
      <c r="D66" s="98"/>
      <c r="E66" s="98"/>
      <c r="F66" s="102"/>
      <c r="G66" s="98"/>
      <c r="H66" s="98"/>
    </row>
    <row r="67" spans="1:8" ht="30">
      <c r="A67" s="351"/>
      <c r="B67" s="356" t="s">
        <v>58</v>
      </c>
      <c r="C67" s="98"/>
      <c r="D67" s="98"/>
      <c r="E67" s="98"/>
      <c r="F67" s="102"/>
      <c r="G67" s="98"/>
      <c r="H67" s="98"/>
    </row>
    <row r="68" spans="1:8" ht="30">
      <c r="A68" s="351"/>
      <c r="B68" s="354" t="s">
        <v>59</v>
      </c>
      <c r="C68" s="98"/>
      <c r="D68" s="98"/>
      <c r="E68" s="98"/>
      <c r="F68" s="102"/>
      <c r="G68" s="98"/>
      <c r="H68" s="98"/>
    </row>
    <row r="69" spans="1:8">
      <c r="A69" s="351">
        <v>9</v>
      </c>
      <c r="B69" s="354" t="s">
        <v>60</v>
      </c>
      <c r="C69" s="98"/>
      <c r="D69" s="98"/>
      <c r="E69" s="98"/>
      <c r="F69" s="102"/>
      <c r="G69" s="98"/>
      <c r="H69" s="98"/>
    </row>
    <row r="70" spans="1:8">
      <c r="A70" s="351">
        <v>10</v>
      </c>
      <c r="B70" s="354" t="s">
        <v>61</v>
      </c>
      <c r="C70" s="98">
        <v>1084.592809</v>
      </c>
      <c r="D70" s="98">
        <v>1380</v>
      </c>
      <c r="E70" s="98">
        <v>1380</v>
      </c>
      <c r="F70" s="102">
        <v>1424.16</v>
      </c>
      <c r="G70" s="98">
        <f>120+1300</f>
        <v>1420</v>
      </c>
      <c r="H70" s="98">
        <f>120+1300</f>
        <v>1420</v>
      </c>
    </row>
    <row r="71" spans="1:8" ht="18" customHeight="1">
      <c r="A71" s="351"/>
      <c r="B71" s="356" t="s">
        <v>62</v>
      </c>
      <c r="C71" s="98">
        <v>589.81465200000002</v>
      </c>
      <c r="D71" s="98">
        <f>400+40</f>
        <v>440</v>
      </c>
      <c r="E71" s="98">
        <f>400+40</f>
        <v>440</v>
      </c>
      <c r="F71" s="102">
        <f>400+71</f>
        <v>471</v>
      </c>
      <c r="G71" s="98">
        <v>470</v>
      </c>
      <c r="H71" s="98">
        <v>470</v>
      </c>
    </row>
    <row r="72" spans="1:8">
      <c r="A72" s="351">
        <v>11</v>
      </c>
      <c r="B72" s="354" t="s">
        <v>63</v>
      </c>
      <c r="C72" s="98">
        <v>167.23264900000001</v>
      </c>
      <c r="D72" s="98">
        <v>50</v>
      </c>
      <c r="E72" s="98">
        <v>50</v>
      </c>
      <c r="F72" s="102">
        <f>F73+F74</f>
        <v>172.61</v>
      </c>
      <c r="G72" s="98">
        <f>G73+G74</f>
        <v>180</v>
      </c>
      <c r="H72" s="98">
        <f>H73+H74</f>
        <v>180</v>
      </c>
    </row>
    <row r="73" spans="1:8" ht="18" customHeight="1">
      <c r="A73" s="351"/>
      <c r="B73" s="356" t="s">
        <v>64</v>
      </c>
      <c r="C73" s="98"/>
      <c r="D73" s="98"/>
      <c r="E73" s="98"/>
      <c r="F73" s="102"/>
      <c r="G73" s="98"/>
      <c r="H73" s="98"/>
    </row>
    <row r="74" spans="1:8">
      <c r="A74" s="351"/>
      <c r="B74" s="356" t="s">
        <v>65</v>
      </c>
      <c r="C74" s="98">
        <f>C72</f>
        <v>167.23264900000001</v>
      </c>
      <c r="D74" s="98">
        <v>50</v>
      </c>
      <c r="E74" s="98">
        <v>50</v>
      </c>
      <c r="F74" s="102">
        <v>172.61</v>
      </c>
      <c r="G74" s="98">
        <f>130+50</f>
        <v>180</v>
      </c>
      <c r="H74" s="98">
        <f>130+50</f>
        <v>180</v>
      </c>
    </row>
    <row r="75" spans="1:8" ht="21.75" customHeight="1">
      <c r="A75" s="351">
        <v>12</v>
      </c>
      <c r="B75" s="354" t="s">
        <v>66</v>
      </c>
      <c r="C75" s="98"/>
      <c r="D75" s="98"/>
      <c r="E75" s="98"/>
      <c r="F75" s="102"/>
      <c r="G75" s="98"/>
      <c r="H75" s="98"/>
    </row>
    <row r="76" spans="1:8" ht="21.75" customHeight="1">
      <c r="A76" s="351">
        <v>13</v>
      </c>
      <c r="B76" s="354" t="s">
        <v>67</v>
      </c>
      <c r="C76" s="98">
        <f>C77+C78</f>
        <v>0</v>
      </c>
      <c r="D76" s="98">
        <f>D77+D78</f>
        <v>0</v>
      </c>
      <c r="E76" s="98">
        <f>E77+E78</f>
        <v>0</v>
      </c>
      <c r="F76" s="102">
        <f>F77+F78</f>
        <v>0</v>
      </c>
      <c r="G76" s="98"/>
      <c r="H76" s="98"/>
    </row>
    <row r="77" spans="1:8">
      <c r="A77" s="351"/>
      <c r="B77" s="354" t="s">
        <v>68</v>
      </c>
      <c r="C77" s="98"/>
      <c r="D77" s="98"/>
      <c r="E77" s="98"/>
      <c r="F77" s="102"/>
      <c r="G77" s="98"/>
      <c r="H77" s="98"/>
    </row>
    <row r="78" spans="1:8">
      <c r="A78" s="351"/>
      <c r="B78" s="354" t="s">
        <v>69</v>
      </c>
      <c r="C78" s="98"/>
      <c r="D78" s="98"/>
      <c r="E78" s="98"/>
      <c r="F78" s="102"/>
      <c r="G78" s="98"/>
      <c r="H78" s="98"/>
    </row>
    <row r="79" spans="1:8">
      <c r="A79" s="352" t="s">
        <v>70</v>
      </c>
      <c r="B79" s="353" t="s">
        <v>71</v>
      </c>
      <c r="C79" s="98"/>
      <c r="D79" s="98"/>
      <c r="E79" s="98"/>
      <c r="F79" s="102"/>
      <c r="G79" s="98"/>
      <c r="H79" s="98"/>
    </row>
    <row r="80" spans="1:8">
      <c r="A80" s="361"/>
      <c r="B80" s="362"/>
      <c r="C80" s="363"/>
      <c r="D80" s="363"/>
      <c r="E80" s="363"/>
      <c r="F80" s="363"/>
      <c r="G80" s="363"/>
      <c r="H80" s="363"/>
    </row>
    <row r="81" spans="1:8">
      <c r="A81" s="343"/>
      <c r="B81" s="364"/>
      <c r="C81" s="347"/>
      <c r="D81" s="88"/>
      <c r="E81" s="88"/>
      <c r="F81" s="87"/>
      <c r="G81" s="346"/>
      <c r="H81" s="346"/>
    </row>
    <row r="82" spans="1:8">
      <c r="A82" s="530"/>
      <c r="B82" s="365"/>
      <c r="C82" s="347"/>
      <c r="D82" s="347"/>
      <c r="E82" s="531"/>
      <c r="F82" s="531"/>
      <c r="G82" s="531"/>
      <c r="H82" s="531"/>
    </row>
    <row r="83" spans="1:8">
      <c r="A83" s="530"/>
      <c r="B83" s="366"/>
      <c r="C83" s="347"/>
      <c r="D83" s="347"/>
      <c r="E83" s="532"/>
      <c r="F83" s="532"/>
      <c r="G83" s="532"/>
      <c r="H83" s="532"/>
    </row>
    <row r="84" spans="1:8">
      <c r="A84" s="530"/>
      <c r="B84" s="365"/>
      <c r="C84" s="347"/>
      <c r="D84" s="347"/>
      <c r="E84" s="531"/>
      <c r="F84" s="531"/>
      <c r="G84" s="531"/>
      <c r="H84" s="531"/>
    </row>
  </sheetData>
  <mergeCells count="11">
    <mergeCell ref="A82:A84"/>
    <mergeCell ref="E82:H82"/>
    <mergeCell ref="E83:H83"/>
    <mergeCell ref="E84:H84"/>
    <mergeCell ref="F1:H1"/>
    <mergeCell ref="A2:H2"/>
    <mergeCell ref="A4:A5"/>
    <mergeCell ref="B4:B5"/>
    <mergeCell ref="C4:C5"/>
    <mergeCell ref="G4:H4"/>
    <mergeCell ref="D4:F4"/>
  </mergeCells>
  <hyperlinks>
    <hyperlink ref="F1:H1" location="'PL tong hop'!A1" display="Mẫu biểu số 01/TT342"/>
    <hyperlink ref="G1" location="'PL tong hop'!A1" display="Mẫu biểu số 01/TT342"/>
  </hyperlinks>
  <printOptions horizontalCentered="1"/>
  <pageMargins left="0.31496062992125984" right="0.23622047244094491" top="0.31496062992125984" bottom="0.31496062992125984" header="0.31496062992125984" footer="0.31496062992125984"/>
  <pageSetup paperSize="9" scale="8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7"/>
  <sheetViews>
    <sheetView workbookViewId="0">
      <pane xSplit="9" ySplit="7" topLeftCell="J14" activePane="bottomRight" state="frozen"/>
      <selection pane="topRight" activeCell="J1" sqref="J1"/>
      <selection pane="bottomLeft" activeCell="A8" sqref="A8"/>
      <selection pane="bottomRight" activeCell="F17" sqref="F17"/>
    </sheetView>
  </sheetViews>
  <sheetFormatPr defaultColWidth="9.140625" defaultRowHeight="15"/>
  <cols>
    <col min="1" max="1" width="5.28515625" style="49" customWidth="1"/>
    <col min="2" max="2" width="28.7109375" style="48" customWidth="1"/>
    <col min="3" max="3" width="12.42578125" style="48" customWidth="1"/>
    <col min="4" max="4" width="10.140625" style="48" bestFit="1" customWidth="1"/>
    <col min="5" max="5" width="10.28515625" style="48" customWidth="1"/>
    <col min="6" max="6" width="10.140625" style="48" bestFit="1" customWidth="1"/>
    <col min="7" max="8" width="9.28515625" style="48" bestFit="1" customWidth="1"/>
    <col min="9" max="9" width="10.140625" style="48" bestFit="1" customWidth="1"/>
    <col min="10" max="10" width="11.28515625" style="49" bestFit="1" customWidth="1"/>
    <col min="11" max="11" width="10.140625" style="49" bestFit="1" customWidth="1"/>
    <col min="12" max="12" width="9.42578125" style="49" bestFit="1" customWidth="1"/>
    <col min="13" max="13" width="11.28515625" style="49" bestFit="1" customWidth="1"/>
    <col min="14" max="17" width="9.42578125" style="49" bestFit="1" customWidth="1"/>
    <col min="18" max="23" width="9.28515625" style="48" bestFit="1" customWidth="1"/>
    <col min="24" max="16384" width="9.140625" style="48"/>
  </cols>
  <sheetData>
    <row r="1" spans="1:23" s="45" customFormat="1" hidden="1">
      <c r="A1" s="44" t="s">
        <v>0</v>
      </c>
      <c r="J1" s="46"/>
      <c r="K1" s="46"/>
      <c r="L1" s="46"/>
      <c r="M1" s="46"/>
      <c r="N1" s="46"/>
      <c r="O1" s="46"/>
      <c r="P1" s="46"/>
      <c r="Q1" s="46"/>
      <c r="U1" s="661" t="s">
        <v>75</v>
      </c>
      <c r="V1" s="661"/>
      <c r="W1" s="661"/>
    </row>
    <row r="2" spans="1:23" hidden="1">
      <c r="A2" s="47"/>
    </row>
    <row r="3" spans="1:23">
      <c r="A3" s="662" t="s">
        <v>76</v>
      </c>
      <c r="B3" s="662"/>
      <c r="C3" s="662"/>
      <c r="D3" s="662"/>
      <c r="E3" s="662"/>
      <c r="F3" s="662"/>
      <c r="G3" s="662"/>
      <c r="H3" s="662"/>
      <c r="I3" s="662"/>
      <c r="J3" s="662"/>
      <c r="K3" s="662"/>
      <c r="L3" s="662"/>
      <c r="M3" s="662"/>
      <c r="N3" s="662"/>
      <c r="O3" s="662"/>
      <c r="P3" s="662"/>
      <c r="Q3" s="662"/>
      <c r="R3" s="662"/>
      <c r="S3" s="662"/>
      <c r="T3" s="662"/>
      <c r="U3" s="662"/>
      <c r="V3" s="662"/>
      <c r="W3" s="662"/>
    </row>
    <row r="4" spans="1:23">
      <c r="A4" s="50"/>
      <c r="B4" s="51"/>
      <c r="C4" s="51"/>
      <c r="D4" s="51"/>
      <c r="E4" s="51"/>
      <c r="F4" s="51"/>
      <c r="G4" s="51"/>
      <c r="H4" s="51"/>
      <c r="I4" s="51"/>
      <c r="J4" s="50"/>
      <c r="K4" s="50"/>
      <c r="L4" s="50"/>
      <c r="M4" s="50"/>
      <c r="N4" s="50"/>
      <c r="O4" s="50"/>
      <c r="P4" s="50"/>
      <c r="Q4" s="50"/>
      <c r="R4" s="51"/>
      <c r="S4" s="51"/>
      <c r="T4" s="51"/>
      <c r="U4" s="51"/>
      <c r="V4" s="51"/>
      <c r="W4" s="52" t="s">
        <v>3</v>
      </c>
    </row>
    <row r="5" spans="1:23">
      <c r="A5" s="663" t="s">
        <v>4</v>
      </c>
      <c r="B5" s="665" t="s">
        <v>5</v>
      </c>
      <c r="C5" s="665" t="s">
        <v>77</v>
      </c>
      <c r="D5" s="665"/>
      <c r="E5" s="665"/>
      <c r="F5" s="665"/>
      <c r="G5" s="665"/>
      <c r="H5" s="665"/>
      <c r="I5" s="665"/>
      <c r="J5" s="663" t="s">
        <v>78</v>
      </c>
      <c r="K5" s="663"/>
      <c r="L5" s="663"/>
      <c r="M5" s="663"/>
      <c r="N5" s="663"/>
      <c r="O5" s="663"/>
      <c r="P5" s="663"/>
      <c r="Q5" s="665" t="s">
        <v>8</v>
      </c>
      <c r="R5" s="665"/>
      <c r="S5" s="665"/>
      <c r="T5" s="665"/>
      <c r="U5" s="665"/>
      <c r="V5" s="665"/>
      <c r="W5" s="665"/>
    </row>
    <row r="6" spans="1:23">
      <c r="A6" s="664"/>
      <c r="B6" s="666"/>
      <c r="C6" s="666" t="s">
        <v>79</v>
      </c>
      <c r="D6" s="666" t="s">
        <v>80</v>
      </c>
      <c r="E6" s="666"/>
      <c r="F6" s="666"/>
      <c r="G6" s="666"/>
      <c r="H6" s="666"/>
      <c r="I6" s="666"/>
      <c r="J6" s="664" t="s">
        <v>79</v>
      </c>
      <c r="K6" s="664" t="s">
        <v>80</v>
      </c>
      <c r="L6" s="664"/>
      <c r="M6" s="664"/>
      <c r="N6" s="664"/>
      <c r="O6" s="664"/>
      <c r="P6" s="664"/>
      <c r="Q6" s="664" t="s">
        <v>81</v>
      </c>
      <c r="R6" s="666" t="s">
        <v>80</v>
      </c>
      <c r="S6" s="666"/>
      <c r="T6" s="666"/>
      <c r="U6" s="666"/>
      <c r="V6" s="666"/>
      <c r="W6" s="666"/>
    </row>
    <row r="7" spans="1:23" ht="57">
      <c r="A7" s="664"/>
      <c r="B7" s="666"/>
      <c r="C7" s="666"/>
      <c r="D7" s="53" t="s">
        <v>82</v>
      </c>
      <c r="E7" s="53" t="s">
        <v>83</v>
      </c>
      <c r="F7" s="53" t="s">
        <v>84</v>
      </c>
      <c r="G7" s="53" t="s">
        <v>71</v>
      </c>
      <c r="H7" s="53" t="s">
        <v>85</v>
      </c>
      <c r="I7" s="53" t="s">
        <v>86</v>
      </c>
      <c r="J7" s="664"/>
      <c r="K7" s="16" t="s">
        <v>82</v>
      </c>
      <c r="L7" s="16" t="s">
        <v>83</v>
      </c>
      <c r="M7" s="16" t="s">
        <v>84</v>
      </c>
      <c r="N7" s="16" t="s">
        <v>71</v>
      </c>
      <c r="O7" s="16" t="s">
        <v>85</v>
      </c>
      <c r="P7" s="16" t="s">
        <v>86</v>
      </c>
      <c r="Q7" s="664"/>
      <c r="R7" s="53" t="s">
        <v>82</v>
      </c>
      <c r="S7" s="53" t="s">
        <v>83</v>
      </c>
      <c r="T7" s="53" t="s">
        <v>84</v>
      </c>
      <c r="U7" s="53" t="s">
        <v>71</v>
      </c>
      <c r="V7" s="53" t="s">
        <v>85</v>
      </c>
      <c r="W7" s="53" t="s">
        <v>86</v>
      </c>
    </row>
    <row r="8" spans="1:23">
      <c r="A8" s="31" t="s">
        <v>11</v>
      </c>
      <c r="B8" s="54" t="s">
        <v>12</v>
      </c>
      <c r="C8" s="54">
        <v>1</v>
      </c>
      <c r="D8" s="54">
        <v>2</v>
      </c>
      <c r="E8" s="54">
        <v>3</v>
      </c>
      <c r="F8" s="54">
        <v>4</v>
      </c>
      <c r="G8" s="54">
        <v>5</v>
      </c>
      <c r="H8" s="54">
        <v>6</v>
      </c>
      <c r="I8" s="54">
        <v>7</v>
      </c>
      <c r="J8" s="31">
        <v>8</v>
      </c>
      <c r="K8" s="31">
        <v>9</v>
      </c>
      <c r="L8" s="31">
        <v>10</v>
      </c>
      <c r="M8" s="31">
        <v>11</v>
      </c>
      <c r="N8" s="31">
        <v>12</v>
      </c>
      <c r="O8" s="31">
        <v>13</v>
      </c>
      <c r="P8" s="31">
        <v>14</v>
      </c>
      <c r="Q8" s="31">
        <v>15</v>
      </c>
      <c r="R8" s="54">
        <v>16</v>
      </c>
      <c r="S8" s="54">
        <v>17</v>
      </c>
      <c r="T8" s="54">
        <v>18</v>
      </c>
      <c r="U8" s="54">
        <v>19</v>
      </c>
      <c r="V8" s="54">
        <v>20</v>
      </c>
      <c r="W8" s="54">
        <v>21</v>
      </c>
    </row>
    <row r="9" spans="1:23">
      <c r="A9" s="31"/>
      <c r="B9" s="53" t="s">
        <v>13</v>
      </c>
      <c r="C9" s="53">
        <f>C10+C17+C20+C23+C29</f>
        <v>144370</v>
      </c>
      <c r="D9" s="53">
        <f t="shared" ref="D9:W9" si="0">D10+D17+D20+D23+D29</f>
        <v>13940</v>
      </c>
      <c r="E9" s="53">
        <f t="shared" si="0"/>
        <v>0</v>
      </c>
      <c r="F9" s="53">
        <f t="shared" si="0"/>
        <v>71500</v>
      </c>
      <c r="G9" s="53">
        <f t="shared" si="0"/>
        <v>0</v>
      </c>
      <c r="H9" s="53">
        <f t="shared" si="0"/>
        <v>0</v>
      </c>
      <c r="I9" s="53">
        <f t="shared" si="0"/>
        <v>58930</v>
      </c>
      <c r="J9" s="16">
        <f t="shared" si="0"/>
        <v>132541</v>
      </c>
      <c r="K9" s="16">
        <f t="shared" si="0"/>
        <v>14190</v>
      </c>
      <c r="L9" s="16">
        <f t="shared" si="0"/>
        <v>0</v>
      </c>
      <c r="M9" s="16">
        <f t="shared" si="0"/>
        <v>73870</v>
      </c>
      <c r="N9" s="16">
        <f t="shared" si="0"/>
        <v>0</v>
      </c>
      <c r="O9" s="16">
        <f t="shared" si="0"/>
        <v>0</v>
      </c>
      <c r="P9" s="16">
        <f t="shared" si="0"/>
        <v>44481</v>
      </c>
      <c r="Q9" s="16">
        <f t="shared" si="0"/>
        <v>0</v>
      </c>
      <c r="R9" s="53">
        <f t="shared" si="0"/>
        <v>0</v>
      </c>
      <c r="S9" s="53">
        <f t="shared" si="0"/>
        <v>0</v>
      </c>
      <c r="T9" s="53">
        <f t="shared" si="0"/>
        <v>0</v>
      </c>
      <c r="U9" s="53">
        <f t="shared" si="0"/>
        <v>0</v>
      </c>
      <c r="V9" s="53">
        <f t="shared" si="0"/>
        <v>0</v>
      </c>
      <c r="W9" s="53">
        <f t="shared" si="0"/>
        <v>0</v>
      </c>
    </row>
    <row r="10" spans="1:23">
      <c r="A10" s="16" t="s">
        <v>14</v>
      </c>
      <c r="B10" s="55" t="s">
        <v>87</v>
      </c>
      <c r="C10" s="53">
        <f>SUM(C11:C16)</f>
        <v>85440</v>
      </c>
      <c r="D10" s="53">
        <f t="shared" ref="D10:W10" si="1">SUM(D11:D16)</f>
        <v>13940</v>
      </c>
      <c r="E10" s="53">
        <f t="shared" si="1"/>
        <v>0</v>
      </c>
      <c r="F10" s="53">
        <f t="shared" si="1"/>
        <v>71500</v>
      </c>
      <c r="G10" s="53">
        <f t="shared" si="1"/>
        <v>0</v>
      </c>
      <c r="H10" s="53">
        <f t="shared" si="1"/>
        <v>0</v>
      </c>
      <c r="I10" s="53">
        <f t="shared" si="1"/>
        <v>0</v>
      </c>
      <c r="J10" s="16">
        <f t="shared" si="1"/>
        <v>88060</v>
      </c>
      <c r="K10" s="16">
        <f t="shared" si="1"/>
        <v>14190</v>
      </c>
      <c r="L10" s="16">
        <f t="shared" si="1"/>
        <v>0</v>
      </c>
      <c r="M10" s="16">
        <f t="shared" si="1"/>
        <v>73870</v>
      </c>
      <c r="N10" s="16">
        <f t="shared" si="1"/>
        <v>0</v>
      </c>
      <c r="O10" s="16">
        <f t="shared" si="1"/>
        <v>0</v>
      </c>
      <c r="P10" s="16">
        <f t="shared" si="1"/>
        <v>0</v>
      </c>
      <c r="Q10" s="16">
        <f t="shared" si="1"/>
        <v>0</v>
      </c>
      <c r="R10" s="53">
        <f t="shared" si="1"/>
        <v>0</v>
      </c>
      <c r="S10" s="53">
        <f t="shared" si="1"/>
        <v>0</v>
      </c>
      <c r="T10" s="53">
        <f t="shared" si="1"/>
        <v>0</v>
      </c>
      <c r="U10" s="53">
        <f t="shared" si="1"/>
        <v>0</v>
      </c>
      <c r="V10" s="53">
        <f t="shared" si="1"/>
        <v>0</v>
      </c>
      <c r="W10" s="53">
        <f t="shared" si="1"/>
        <v>0</v>
      </c>
    </row>
    <row r="11" spans="1:23" ht="30">
      <c r="A11" s="31">
        <v>1</v>
      </c>
      <c r="B11" s="56" t="s">
        <v>88</v>
      </c>
      <c r="C11" s="54">
        <f>SUM(D11:I11)</f>
        <v>78860</v>
      </c>
      <c r="D11" s="54">
        <f>8070+170</f>
        <v>8240</v>
      </c>
      <c r="E11" s="54">
        <f>0</f>
        <v>0</v>
      </c>
      <c r="F11" s="54">
        <f>70620</f>
        <v>70620</v>
      </c>
      <c r="G11" s="54"/>
      <c r="H11" s="54"/>
      <c r="I11" s="54"/>
      <c r="J11" s="31">
        <f>SUM(K11:P11)</f>
        <v>81256</v>
      </c>
      <c r="K11" s="31">
        <f>8070+300</f>
        <v>8370</v>
      </c>
      <c r="L11" s="31">
        <f>0</f>
        <v>0</v>
      </c>
      <c r="M11" s="31">
        <f>72886</f>
        <v>72886</v>
      </c>
      <c r="N11" s="31"/>
      <c r="O11" s="31"/>
      <c r="P11" s="31"/>
      <c r="Q11" s="31">
        <f>SUM(R11:W11)</f>
        <v>0</v>
      </c>
      <c r="R11" s="54"/>
      <c r="S11" s="54"/>
      <c r="T11" s="54"/>
      <c r="U11" s="54"/>
      <c r="V11" s="54"/>
      <c r="W11" s="54"/>
    </row>
    <row r="12" spans="1:23" ht="30">
      <c r="A12" s="31">
        <v>2</v>
      </c>
      <c r="B12" s="56" t="s">
        <v>89</v>
      </c>
      <c r="C12" s="54">
        <f t="shared" ref="C12:C19" si="2">SUM(D12:I12)</f>
        <v>40</v>
      </c>
      <c r="D12" s="54">
        <f>0</f>
        <v>0</v>
      </c>
      <c r="E12" s="54"/>
      <c r="F12" s="54">
        <f>40</f>
        <v>40</v>
      </c>
      <c r="G12" s="54"/>
      <c r="H12" s="54"/>
      <c r="I12" s="54"/>
      <c r="J12" s="31">
        <f t="shared" ref="J12:J32" si="3">SUM(K12:P12)</f>
        <v>18</v>
      </c>
      <c r="K12" s="31"/>
      <c r="L12" s="31"/>
      <c r="M12" s="31">
        <v>18</v>
      </c>
      <c r="N12" s="31"/>
      <c r="O12" s="31"/>
      <c r="P12" s="31"/>
      <c r="Q12" s="31">
        <f t="shared" ref="Q12:Q32" si="4">SUM(R12:W12)</f>
        <v>0</v>
      </c>
      <c r="R12" s="54"/>
      <c r="S12" s="54"/>
      <c r="T12" s="54"/>
      <c r="U12" s="54"/>
      <c r="V12" s="54"/>
      <c r="W12" s="54"/>
    </row>
    <row r="13" spans="1:23" ht="30">
      <c r="A13" s="31">
        <v>3</v>
      </c>
      <c r="B13" s="56" t="s">
        <v>90</v>
      </c>
      <c r="C13" s="54">
        <f t="shared" si="2"/>
        <v>0</v>
      </c>
      <c r="D13" s="54">
        <f>0</f>
        <v>0</v>
      </c>
      <c r="E13" s="54"/>
      <c r="F13" s="54">
        <f>0</f>
        <v>0</v>
      </c>
      <c r="G13" s="54"/>
      <c r="H13" s="54"/>
      <c r="I13" s="54"/>
      <c r="J13" s="31">
        <f t="shared" si="3"/>
        <v>0</v>
      </c>
      <c r="K13" s="31"/>
      <c r="L13" s="31"/>
      <c r="M13" s="31"/>
      <c r="N13" s="31"/>
      <c r="O13" s="31"/>
      <c r="P13" s="31"/>
      <c r="Q13" s="31">
        <f t="shared" si="4"/>
        <v>0</v>
      </c>
      <c r="R13" s="54"/>
      <c r="S13" s="54"/>
      <c r="T13" s="54"/>
      <c r="U13" s="54"/>
      <c r="V13" s="54"/>
      <c r="W13" s="54"/>
    </row>
    <row r="14" spans="1:23">
      <c r="A14" s="31">
        <v>4</v>
      </c>
      <c r="B14" s="56" t="s">
        <v>91</v>
      </c>
      <c r="C14" s="54">
        <f t="shared" si="2"/>
        <v>330</v>
      </c>
      <c r="D14" s="54">
        <f>0+130</f>
        <v>130</v>
      </c>
      <c r="E14" s="54"/>
      <c r="F14" s="54">
        <f>200</f>
        <v>200</v>
      </c>
      <c r="G14" s="54"/>
      <c r="H14" s="54"/>
      <c r="I14" s="54"/>
      <c r="J14" s="31">
        <f t="shared" si="3"/>
        <v>548</v>
      </c>
      <c r="K14" s="31">
        <v>250</v>
      </c>
      <c r="L14" s="31"/>
      <c r="M14" s="31">
        <v>298</v>
      </c>
      <c r="N14" s="31"/>
      <c r="O14" s="31"/>
      <c r="P14" s="31"/>
      <c r="Q14" s="31">
        <f t="shared" si="4"/>
        <v>0</v>
      </c>
      <c r="R14" s="54"/>
      <c r="S14" s="54"/>
      <c r="T14" s="54"/>
      <c r="U14" s="54"/>
      <c r="V14" s="54"/>
      <c r="W14" s="54"/>
    </row>
    <row r="15" spans="1:23">
      <c r="A15" s="31">
        <v>5</v>
      </c>
      <c r="B15" s="56" t="s">
        <v>34</v>
      </c>
      <c r="C15" s="54">
        <f t="shared" si="2"/>
        <v>5500</v>
      </c>
      <c r="D15" s="54">
        <v>5500</v>
      </c>
      <c r="E15" s="54"/>
      <c r="F15" s="54"/>
      <c r="G15" s="54"/>
      <c r="H15" s="54"/>
      <c r="I15" s="54"/>
      <c r="J15" s="31">
        <f t="shared" si="3"/>
        <v>5500</v>
      </c>
      <c r="K15" s="31">
        <v>5500</v>
      </c>
      <c r="L15" s="31"/>
      <c r="M15" s="31"/>
      <c r="N15" s="31"/>
      <c r="O15" s="31"/>
      <c r="P15" s="31"/>
      <c r="Q15" s="31">
        <f t="shared" si="4"/>
        <v>0</v>
      </c>
      <c r="R15" s="54"/>
      <c r="S15" s="54"/>
      <c r="T15" s="54"/>
      <c r="U15" s="54"/>
      <c r="V15" s="54"/>
      <c r="W15" s="54"/>
    </row>
    <row r="16" spans="1:23">
      <c r="A16" s="31">
        <v>6</v>
      </c>
      <c r="B16" s="56" t="s">
        <v>92</v>
      </c>
      <c r="C16" s="54">
        <f t="shared" si="2"/>
        <v>710</v>
      </c>
      <c r="D16" s="54">
        <f>20+50</f>
        <v>70</v>
      </c>
      <c r="E16" s="54"/>
      <c r="F16" s="54">
        <f>640</f>
        <v>640</v>
      </c>
      <c r="G16" s="54"/>
      <c r="H16" s="54"/>
      <c r="I16" s="54"/>
      <c r="J16" s="31">
        <f t="shared" si="3"/>
        <v>738</v>
      </c>
      <c r="K16" s="31">
        <f>20+50</f>
        <v>70</v>
      </c>
      <c r="L16" s="31"/>
      <c r="M16" s="31">
        <f>668</f>
        <v>668</v>
      </c>
      <c r="N16" s="31"/>
      <c r="O16" s="31"/>
      <c r="P16" s="31"/>
      <c r="Q16" s="31">
        <f t="shared" si="4"/>
        <v>0</v>
      </c>
      <c r="R16" s="54"/>
      <c r="S16" s="54"/>
      <c r="T16" s="54"/>
      <c r="U16" s="54"/>
      <c r="V16" s="54"/>
      <c r="W16" s="54"/>
    </row>
    <row r="17" spans="1:23">
      <c r="A17" s="16" t="s">
        <v>70</v>
      </c>
      <c r="B17" s="55" t="s">
        <v>93</v>
      </c>
      <c r="C17" s="53">
        <f>C18+C19</f>
        <v>5750</v>
      </c>
      <c r="D17" s="53">
        <f t="shared" ref="D17:W17" si="5">D18+D19</f>
        <v>0</v>
      </c>
      <c r="E17" s="53">
        <f t="shared" si="5"/>
        <v>0</v>
      </c>
      <c r="F17" s="53">
        <f t="shared" si="5"/>
        <v>0</v>
      </c>
      <c r="G17" s="53">
        <f t="shared" si="5"/>
        <v>0</v>
      </c>
      <c r="H17" s="53">
        <f t="shared" si="5"/>
        <v>0</v>
      </c>
      <c r="I17" s="53">
        <f t="shared" si="5"/>
        <v>5750</v>
      </c>
      <c r="J17" s="16">
        <f t="shared" si="5"/>
        <v>5756</v>
      </c>
      <c r="K17" s="16">
        <f t="shared" si="5"/>
        <v>0</v>
      </c>
      <c r="L17" s="16">
        <f t="shared" si="5"/>
        <v>0</v>
      </c>
      <c r="M17" s="16">
        <f t="shared" si="5"/>
        <v>0</v>
      </c>
      <c r="N17" s="16">
        <f t="shared" si="5"/>
        <v>0</v>
      </c>
      <c r="O17" s="16">
        <f t="shared" si="5"/>
        <v>0</v>
      </c>
      <c r="P17" s="16">
        <f t="shared" si="5"/>
        <v>5756</v>
      </c>
      <c r="Q17" s="16">
        <f t="shared" si="5"/>
        <v>0</v>
      </c>
      <c r="R17" s="53">
        <f t="shared" si="5"/>
        <v>0</v>
      </c>
      <c r="S17" s="53">
        <f t="shared" si="5"/>
        <v>0</v>
      </c>
      <c r="T17" s="53">
        <f t="shared" si="5"/>
        <v>0</v>
      </c>
      <c r="U17" s="53">
        <f t="shared" si="5"/>
        <v>0</v>
      </c>
      <c r="V17" s="53">
        <f t="shared" si="5"/>
        <v>0</v>
      </c>
      <c r="W17" s="53">
        <f t="shared" si="5"/>
        <v>0</v>
      </c>
    </row>
    <row r="18" spans="1:23">
      <c r="A18" s="31">
        <v>1</v>
      </c>
      <c r="B18" s="56" t="s">
        <v>38</v>
      </c>
      <c r="C18" s="54">
        <f t="shared" si="2"/>
        <v>4500</v>
      </c>
      <c r="D18" s="54"/>
      <c r="E18" s="54"/>
      <c r="F18" s="54"/>
      <c r="G18" s="54"/>
      <c r="H18" s="54"/>
      <c r="I18" s="54">
        <v>4500</v>
      </c>
      <c r="J18" s="31">
        <f t="shared" si="3"/>
        <v>4500</v>
      </c>
      <c r="K18" s="31"/>
      <c r="L18" s="31"/>
      <c r="M18" s="31"/>
      <c r="N18" s="31"/>
      <c r="O18" s="31"/>
      <c r="P18" s="31">
        <v>4500</v>
      </c>
      <c r="Q18" s="31">
        <f t="shared" si="4"/>
        <v>0</v>
      </c>
      <c r="R18" s="54"/>
      <c r="S18" s="54"/>
      <c r="T18" s="54"/>
      <c r="U18" s="54"/>
      <c r="V18" s="54"/>
      <c r="W18" s="54"/>
    </row>
    <row r="19" spans="1:23">
      <c r="A19" s="31">
        <v>2</v>
      </c>
      <c r="B19" s="56" t="s">
        <v>39</v>
      </c>
      <c r="C19" s="54">
        <f t="shared" si="2"/>
        <v>1250</v>
      </c>
      <c r="D19" s="54"/>
      <c r="E19" s="54"/>
      <c r="F19" s="54"/>
      <c r="G19" s="54"/>
      <c r="H19" s="54"/>
      <c r="I19" s="54">
        <v>1250</v>
      </c>
      <c r="J19" s="31">
        <f t="shared" si="3"/>
        <v>1256</v>
      </c>
      <c r="K19" s="31"/>
      <c r="L19" s="31"/>
      <c r="M19" s="31"/>
      <c r="N19" s="31"/>
      <c r="O19" s="31"/>
      <c r="P19" s="31">
        <v>1256</v>
      </c>
      <c r="Q19" s="31">
        <f t="shared" si="4"/>
        <v>0</v>
      </c>
      <c r="R19" s="54"/>
      <c r="S19" s="54"/>
      <c r="T19" s="54"/>
      <c r="U19" s="54"/>
      <c r="V19" s="54"/>
      <c r="W19" s="54"/>
    </row>
    <row r="20" spans="1:23" ht="57">
      <c r="A20" s="16" t="s">
        <v>94</v>
      </c>
      <c r="B20" s="55" t="s">
        <v>95</v>
      </c>
      <c r="C20" s="53">
        <f>C21+C22</f>
        <v>0</v>
      </c>
      <c r="D20" s="53">
        <f t="shared" ref="D20:W20" si="6">D21+D22</f>
        <v>0</v>
      </c>
      <c r="E20" s="53">
        <f t="shared" si="6"/>
        <v>0</v>
      </c>
      <c r="F20" s="53">
        <f t="shared" si="6"/>
        <v>0</v>
      </c>
      <c r="G20" s="53">
        <f t="shared" si="6"/>
        <v>0</v>
      </c>
      <c r="H20" s="53">
        <f t="shared" si="6"/>
        <v>0</v>
      </c>
      <c r="I20" s="53">
        <f t="shared" si="6"/>
        <v>0</v>
      </c>
      <c r="J20" s="16">
        <f t="shared" si="6"/>
        <v>0</v>
      </c>
      <c r="K20" s="16">
        <f t="shared" si="6"/>
        <v>0</v>
      </c>
      <c r="L20" s="16">
        <f t="shared" si="6"/>
        <v>0</v>
      </c>
      <c r="M20" s="16">
        <f t="shared" si="6"/>
        <v>0</v>
      </c>
      <c r="N20" s="16">
        <f t="shared" si="6"/>
        <v>0</v>
      </c>
      <c r="O20" s="16">
        <f t="shared" si="6"/>
        <v>0</v>
      </c>
      <c r="P20" s="16">
        <f t="shared" si="6"/>
        <v>0</v>
      </c>
      <c r="Q20" s="16">
        <f t="shared" si="6"/>
        <v>0</v>
      </c>
      <c r="R20" s="53">
        <f t="shared" si="6"/>
        <v>0</v>
      </c>
      <c r="S20" s="53">
        <f t="shared" si="6"/>
        <v>0</v>
      </c>
      <c r="T20" s="53">
        <f t="shared" si="6"/>
        <v>0</v>
      </c>
      <c r="U20" s="53">
        <f t="shared" si="6"/>
        <v>0</v>
      </c>
      <c r="V20" s="53">
        <f t="shared" si="6"/>
        <v>0</v>
      </c>
      <c r="W20" s="53">
        <f t="shared" si="6"/>
        <v>0</v>
      </c>
    </row>
    <row r="21" spans="1:23" ht="30">
      <c r="A21" s="31">
        <v>1</v>
      </c>
      <c r="B21" s="56" t="s">
        <v>96</v>
      </c>
      <c r="C21" s="54">
        <f>SUM(D21:I21)</f>
        <v>0</v>
      </c>
      <c r="D21" s="54"/>
      <c r="E21" s="54"/>
      <c r="F21" s="54"/>
      <c r="G21" s="54"/>
      <c r="H21" s="54"/>
      <c r="I21" s="54"/>
      <c r="J21" s="31">
        <f t="shared" si="3"/>
        <v>0</v>
      </c>
      <c r="K21" s="31"/>
      <c r="L21" s="31"/>
      <c r="M21" s="31"/>
      <c r="N21" s="31"/>
      <c r="O21" s="31"/>
      <c r="P21" s="31">
        <v>0</v>
      </c>
      <c r="Q21" s="31">
        <f t="shared" si="4"/>
        <v>0</v>
      </c>
      <c r="R21" s="54"/>
      <c r="S21" s="54"/>
      <c r="T21" s="54"/>
      <c r="U21" s="54"/>
      <c r="V21" s="54"/>
      <c r="W21" s="54"/>
    </row>
    <row r="22" spans="1:23" ht="30">
      <c r="A22" s="31">
        <v>2</v>
      </c>
      <c r="B22" s="56" t="s">
        <v>97</v>
      </c>
      <c r="C22" s="54">
        <f>SUM(D22:I22)</f>
        <v>0</v>
      </c>
      <c r="D22" s="54"/>
      <c r="E22" s="54"/>
      <c r="F22" s="54"/>
      <c r="G22" s="54"/>
      <c r="H22" s="54"/>
      <c r="I22" s="54"/>
      <c r="J22" s="31">
        <f t="shared" si="3"/>
        <v>0</v>
      </c>
      <c r="K22" s="31"/>
      <c r="L22" s="31"/>
      <c r="M22" s="31"/>
      <c r="N22" s="31"/>
      <c r="O22" s="31"/>
      <c r="P22" s="31">
        <v>0</v>
      </c>
      <c r="Q22" s="31">
        <f t="shared" si="4"/>
        <v>0</v>
      </c>
      <c r="R22" s="54"/>
      <c r="S22" s="54"/>
      <c r="T22" s="54"/>
      <c r="U22" s="54"/>
      <c r="V22" s="54"/>
      <c r="W22" s="54"/>
    </row>
    <row r="23" spans="1:23">
      <c r="A23" s="16" t="s">
        <v>98</v>
      </c>
      <c r="B23" s="55" t="s">
        <v>99</v>
      </c>
      <c r="C23" s="53">
        <f>C24+C25+C26+C27+C28</f>
        <v>51750</v>
      </c>
      <c r="D23" s="53">
        <f t="shared" ref="D23:W23" si="7">D24+D25+D26+D27+D28</f>
        <v>0</v>
      </c>
      <c r="E23" s="53">
        <f t="shared" si="7"/>
        <v>0</v>
      </c>
      <c r="F23" s="53">
        <f t="shared" si="7"/>
        <v>0</v>
      </c>
      <c r="G23" s="53">
        <f t="shared" si="7"/>
        <v>0</v>
      </c>
      <c r="H23" s="53">
        <f t="shared" si="7"/>
        <v>0</v>
      </c>
      <c r="I23" s="53">
        <f t="shared" si="7"/>
        <v>51750</v>
      </c>
      <c r="J23" s="16">
        <f t="shared" si="7"/>
        <v>37376</v>
      </c>
      <c r="K23" s="16">
        <f t="shared" si="7"/>
        <v>0</v>
      </c>
      <c r="L23" s="16">
        <f t="shared" si="7"/>
        <v>0</v>
      </c>
      <c r="M23" s="16">
        <f t="shared" si="7"/>
        <v>0</v>
      </c>
      <c r="N23" s="16">
        <f t="shared" si="7"/>
        <v>0</v>
      </c>
      <c r="O23" s="16">
        <f t="shared" si="7"/>
        <v>0</v>
      </c>
      <c r="P23" s="16">
        <f t="shared" si="7"/>
        <v>37376</v>
      </c>
      <c r="Q23" s="16">
        <f t="shared" si="7"/>
        <v>0</v>
      </c>
      <c r="R23" s="53">
        <f t="shared" si="7"/>
        <v>0</v>
      </c>
      <c r="S23" s="53">
        <f t="shared" si="7"/>
        <v>0</v>
      </c>
      <c r="T23" s="53">
        <f t="shared" si="7"/>
        <v>0</v>
      </c>
      <c r="U23" s="53">
        <f t="shared" si="7"/>
        <v>0</v>
      </c>
      <c r="V23" s="53">
        <f t="shared" si="7"/>
        <v>0</v>
      </c>
      <c r="W23" s="53">
        <f t="shared" si="7"/>
        <v>0</v>
      </c>
    </row>
    <row r="24" spans="1:23" ht="30">
      <c r="A24" s="31">
        <v>1</v>
      </c>
      <c r="B24" s="56" t="s">
        <v>100</v>
      </c>
      <c r="C24" s="54">
        <f>SUM(D24:I24)</f>
        <v>30</v>
      </c>
      <c r="D24" s="54"/>
      <c r="E24" s="54"/>
      <c r="F24" s="54"/>
      <c r="G24" s="54"/>
      <c r="H24" s="54"/>
      <c r="I24" s="54">
        <v>30</v>
      </c>
      <c r="J24" s="31">
        <f t="shared" si="3"/>
        <v>30</v>
      </c>
      <c r="K24" s="31"/>
      <c r="L24" s="31"/>
      <c r="M24" s="31"/>
      <c r="N24" s="31"/>
      <c r="O24" s="31"/>
      <c r="P24" s="31">
        <v>30</v>
      </c>
      <c r="Q24" s="31">
        <f t="shared" si="4"/>
        <v>0</v>
      </c>
      <c r="R24" s="54"/>
      <c r="S24" s="54"/>
      <c r="T24" s="54"/>
      <c r="U24" s="54"/>
      <c r="V24" s="54"/>
      <c r="W24" s="54"/>
    </row>
    <row r="25" spans="1:23">
      <c r="A25" s="31">
        <v>2</v>
      </c>
      <c r="B25" s="56" t="s">
        <v>101</v>
      </c>
      <c r="C25" s="54">
        <f t="shared" ref="C25:C32" si="8">SUM(D25:I25)</f>
        <v>0</v>
      </c>
      <c r="D25" s="54">
        <v>0</v>
      </c>
      <c r="E25" s="54"/>
      <c r="F25" s="54"/>
      <c r="G25" s="54"/>
      <c r="H25" s="54"/>
      <c r="I25" s="54"/>
      <c r="J25" s="31">
        <f t="shared" si="3"/>
        <v>0</v>
      </c>
      <c r="K25" s="31"/>
      <c r="L25" s="31"/>
      <c r="M25" s="31"/>
      <c r="N25" s="31"/>
      <c r="O25" s="31"/>
      <c r="P25" s="31">
        <v>0</v>
      </c>
      <c r="Q25" s="31">
        <f t="shared" si="4"/>
        <v>0</v>
      </c>
      <c r="R25" s="54"/>
      <c r="S25" s="54"/>
      <c r="T25" s="54"/>
      <c r="U25" s="54"/>
      <c r="V25" s="54"/>
      <c r="W25" s="54"/>
    </row>
    <row r="26" spans="1:23" ht="30">
      <c r="A26" s="31">
        <v>3</v>
      </c>
      <c r="B26" s="56" t="s">
        <v>102</v>
      </c>
      <c r="C26" s="54">
        <f t="shared" si="8"/>
        <v>1720</v>
      </c>
      <c r="D26" s="54"/>
      <c r="E26" s="54"/>
      <c r="F26" s="54"/>
      <c r="G26" s="54"/>
      <c r="H26" s="54"/>
      <c r="I26" s="54">
        <v>1720</v>
      </c>
      <c r="J26" s="31">
        <f t="shared" si="3"/>
        <v>1750</v>
      </c>
      <c r="K26" s="31"/>
      <c r="L26" s="31"/>
      <c r="M26" s="31"/>
      <c r="N26" s="31"/>
      <c r="O26" s="31"/>
      <c r="P26" s="31">
        <v>1750</v>
      </c>
      <c r="Q26" s="31">
        <f t="shared" si="4"/>
        <v>0</v>
      </c>
      <c r="R26" s="54"/>
      <c r="S26" s="54"/>
      <c r="T26" s="54"/>
      <c r="U26" s="54"/>
      <c r="V26" s="54"/>
      <c r="W26" s="54"/>
    </row>
    <row r="27" spans="1:23">
      <c r="A27" s="31">
        <v>4</v>
      </c>
      <c r="B27" s="56" t="s">
        <v>103</v>
      </c>
      <c r="C27" s="54">
        <f t="shared" si="8"/>
        <v>50000</v>
      </c>
      <c r="D27" s="54"/>
      <c r="E27" s="54"/>
      <c r="F27" s="54"/>
      <c r="G27" s="54"/>
      <c r="H27" s="54"/>
      <c r="I27" s="54">
        <v>50000</v>
      </c>
      <c r="J27" s="31">
        <f t="shared" si="3"/>
        <v>35596</v>
      </c>
      <c r="K27" s="31"/>
      <c r="L27" s="31"/>
      <c r="M27" s="31"/>
      <c r="N27" s="31"/>
      <c r="O27" s="31"/>
      <c r="P27" s="31">
        <v>35596</v>
      </c>
      <c r="Q27" s="31">
        <f t="shared" si="4"/>
        <v>0</v>
      </c>
      <c r="R27" s="54"/>
      <c r="S27" s="54"/>
      <c r="T27" s="54"/>
      <c r="U27" s="54"/>
      <c r="V27" s="54"/>
      <c r="W27" s="54"/>
    </row>
    <row r="28" spans="1:23" ht="30">
      <c r="A28" s="31">
        <v>5</v>
      </c>
      <c r="B28" s="56" t="s">
        <v>104</v>
      </c>
      <c r="C28" s="54">
        <f t="shared" si="8"/>
        <v>0</v>
      </c>
      <c r="D28" s="54"/>
      <c r="E28" s="54"/>
      <c r="F28" s="54"/>
      <c r="G28" s="54"/>
      <c r="H28" s="54"/>
      <c r="I28" s="54"/>
      <c r="J28" s="31">
        <f t="shared" si="3"/>
        <v>0</v>
      </c>
      <c r="K28" s="31"/>
      <c r="L28" s="31"/>
      <c r="M28" s="31"/>
      <c r="N28" s="31"/>
      <c r="O28" s="31"/>
      <c r="P28" s="31"/>
      <c r="Q28" s="31">
        <f t="shared" si="4"/>
        <v>0</v>
      </c>
      <c r="R28" s="54"/>
      <c r="S28" s="54"/>
      <c r="T28" s="54"/>
      <c r="U28" s="54"/>
      <c r="V28" s="54"/>
      <c r="W28" s="54"/>
    </row>
    <row r="29" spans="1:23">
      <c r="A29" s="16" t="s">
        <v>105</v>
      </c>
      <c r="B29" s="55" t="s">
        <v>106</v>
      </c>
      <c r="C29" s="53">
        <f>C30+C31+C32</f>
        <v>1430</v>
      </c>
      <c r="D29" s="53">
        <f t="shared" ref="D29:W29" si="9">D30+D31+D32</f>
        <v>0</v>
      </c>
      <c r="E29" s="53">
        <f t="shared" si="9"/>
        <v>0</v>
      </c>
      <c r="F29" s="53">
        <f t="shared" si="9"/>
        <v>0</v>
      </c>
      <c r="G29" s="53">
        <f t="shared" si="9"/>
        <v>0</v>
      </c>
      <c r="H29" s="53">
        <f t="shared" si="9"/>
        <v>0</v>
      </c>
      <c r="I29" s="53">
        <f t="shared" si="9"/>
        <v>1430</v>
      </c>
      <c r="J29" s="16">
        <f t="shared" si="9"/>
        <v>1349</v>
      </c>
      <c r="K29" s="16">
        <f t="shared" si="9"/>
        <v>0</v>
      </c>
      <c r="L29" s="16">
        <f t="shared" si="9"/>
        <v>0</v>
      </c>
      <c r="M29" s="16">
        <f t="shared" si="9"/>
        <v>0</v>
      </c>
      <c r="N29" s="16">
        <f t="shared" si="9"/>
        <v>0</v>
      </c>
      <c r="O29" s="16">
        <f t="shared" si="9"/>
        <v>0</v>
      </c>
      <c r="P29" s="16">
        <f t="shared" si="9"/>
        <v>1349</v>
      </c>
      <c r="Q29" s="16">
        <f t="shared" si="9"/>
        <v>0</v>
      </c>
      <c r="R29" s="53">
        <f t="shared" si="9"/>
        <v>0</v>
      </c>
      <c r="S29" s="53">
        <f t="shared" si="9"/>
        <v>0</v>
      </c>
      <c r="T29" s="53">
        <f t="shared" si="9"/>
        <v>0</v>
      </c>
      <c r="U29" s="53">
        <f t="shared" si="9"/>
        <v>0</v>
      </c>
      <c r="V29" s="53">
        <f t="shared" si="9"/>
        <v>0</v>
      </c>
      <c r="W29" s="53">
        <f t="shared" si="9"/>
        <v>0</v>
      </c>
    </row>
    <row r="30" spans="1:23" ht="30">
      <c r="A30" s="31">
        <v>1</v>
      </c>
      <c r="B30" s="56" t="s">
        <v>107</v>
      </c>
      <c r="C30" s="54">
        <f t="shared" si="8"/>
        <v>50</v>
      </c>
      <c r="D30" s="54"/>
      <c r="E30" s="54"/>
      <c r="F30" s="54"/>
      <c r="G30" s="54"/>
      <c r="H30" s="54"/>
      <c r="I30" s="54">
        <v>50</v>
      </c>
      <c r="J30" s="31">
        <f t="shared" si="3"/>
        <v>121</v>
      </c>
      <c r="K30" s="31"/>
      <c r="L30" s="31"/>
      <c r="M30" s="31"/>
      <c r="N30" s="31"/>
      <c r="O30" s="31"/>
      <c r="P30" s="31">
        <v>121</v>
      </c>
      <c r="Q30" s="31">
        <f t="shared" si="4"/>
        <v>0</v>
      </c>
      <c r="R30" s="54"/>
      <c r="S30" s="54"/>
      <c r="T30" s="54"/>
      <c r="U30" s="54"/>
      <c r="V30" s="54"/>
      <c r="W30" s="54"/>
    </row>
    <row r="31" spans="1:23">
      <c r="A31" s="31">
        <v>2</v>
      </c>
      <c r="B31" s="56" t="s">
        <v>108</v>
      </c>
      <c r="C31" s="54">
        <f t="shared" si="8"/>
        <v>0</v>
      </c>
      <c r="D31" s="54"/>
      <c r="E31" s="54"/>
      <c r="F31" s="54"/>
      <c r="G31" s="54"/>
      <c r="H31" s="54"/>
      <c r="I31" s="54"/>
      <c r="J31" s="31">
        <f t="shared" si="3"/>
        <v>0</v>
      </c>
      <c r="K31" s="31"/>
      <c r="L31" s="31"/>
      <c r="M31" s="31"/>
      <c r="N31" s="31"/>
      <c r="O31" s="31"/>
      <c r="P31" s="31"/>
      <c r="Q31" s="31">
        <f t="shared" si="4"/>
        <v>0</v>
      </c>
      <c r="R31" s="54"/>
      <c r="S31" s="54"/>
      <c r="T31" s="54"/>
      <c r="U31" s="54"/>
      <c r="V31" s="54"/>
      <c r="W31" s="54"/>
    </row>
    <row r="32" spans="1:23">
      <c r="A32" s="31">
        <v>3</v>
      </c>
      <c r="B32" s="56" t="s">
        <v>109</v>
      </c>
      <c r="C32" s="54">
        <f t="shared" si="8"/>
        <v>1380</v>
      </c>
      <c r="D32" s="54"/>
      <c r="E32" s="54"/>
      <c r="F32" s="54"/>
      <c r="G32" s="54"/>
      <c r="H32" s="54"/>
      <c r="I32" s="54">
        <v>1380</v>
      </c>
      <c r="J32" s="31">
        <f t="shared" si="3"/>
        <v>1228</v>
      </c>
      <c r="K32" s="31"/>
      <c r="L32" s="31"/>
      <c r="M32" s="31"/>
      <c r="N32" s="31"/>
      <c r="O32" s="31"/>
      <c r="P32" s="31">
        <v>1228</v>
      </c>
      <c r="Q32" s="31">
        <f t="shared" si="4"/>
        <v>0</v>
      </c>
      <c r="R32" s="54"/>
      <c r="S32" s="54"/>
      <c r="T32" s="54"/>
      <c r="U32" s="54"/>
      <c r="V32" s="54"/>
      <c r="W32" s="54"/>
    </row>
    <row r="33" spans="1:23">
      <c r="A33" s="38"/>
      <c r="B33" s="57"/>
      <c r="C33" s="58"/>
      <c r="D33" s="58"/>
      <c r="E33" s="58"/>
      <c r="F33" s="58"/>
      <c r="G33" s="58"/>
      <c r="H33" s="58"/>
      <c r="I33" s="58"/>
      <c r="J33" s="38"/>
      <c r="K33" s="38"/>
      <c r="L33" s="38"/>
      <c r="M33" s="38"/>
      <c r="N33" s="38"/>
      <c r="O33" s="38"/>
      <c r="P33" s="38"/>
      <c r="Q33" s="38"/>
      <c r="R33" s="58"/>
      <c r="S33" s="58"/>
      <c r="T33" s="58"/>
      <c r="U33" s="58"/>
      <c r="V33" s="58"/>
      <c r="W33" s="58"/>
    </row>
    <row r="34" spans="1:23">
      <c r="A34" s="59"/>
    </row>
    <row r="35" spans="1:23">
      <c r="A35" s="658"/>
      <c r="S35" s="659" t="s">
        <v>110</v>
      </c>
      <c r="T35" s="659"/>
      <c r="U35" s="659"/>
      <c r="V35" s="659"/>
    </row>
    <row r="36" spans="1:23" ht="15" customHeight="1">
      <c r="A36" s="658"/>
      <c r="S36" s="660" t="s">
        <v>73</v>
      </c>
      <c r="T36" s="660"/>
      <c r="U36" s="660"/>
      <c r="V36" s="660"/>
    </row>
    <row r="37" spans="1:23" ht="15" customHeight="1">
      <c r="A37" s="658"/>
      <c r="S37" s="659" t="s">
        <v>74</v>
      </c>
      <c r="T37" s="659"/>
      <c r="U37" s="659"/>
      <c r="V37" s="659"/>
    </row>
  </sheetData>
  <mergeCells count="17">
    <mergeCell ref="R6:W6"/>
    <mergeCell ref="A35:A37"/>
    <mergeCell ref="S35:V35"/>
    <mergeCell ref="S36:V36"/>
    <mergeCell ref="S37:V37"/>
    <mergeCell ref="U1:W1"/>
    <mergeCell ref="A3:W3"/>
    <mergeCell ref="A5:A7"/>
    <mergeCell ref="B5:B7"/>
    <mergeCell ref="C5:I5"/>
    <mergeCell ref="J5:P5"/>
    <mergeCell ref="Q5:W5"/>
    <mergeCell ref="C6:C7"/>
    <mergeCell ref="D6:I6"/>
    <mergeCell ref="J6:J7"/>
    <mergeCell ref="K6:P6"/>
    <mergeCell ref="Q6:Q7"/>
  </mergeCells>
  <hyperlinks>
    <hyperlink ref="U1:W1" location="'PL tong hop'!A1" display="Mẫu biểu số 02/TT342"/>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J18:K20"/>
  <sheetViews>
    <sheetView workbookViewId="0">
      <selection activeCell="C22" sqref="C22"/>
    </sheetView>
  </sheetViews>
  <sheetFormatPr defaultRowHeight="15"/>
  <cols>
    <col min="10" max="10" width="11.42578125" bestFit="1" customWidth="1"/>
  </cols>
  <sheetData>
    <row r="18" spans="10:11">
      <c r="J18" s="60">
        <f>167244.82-10377</f>
        <v>156867.82</v>
      </c>
      <c r="K18" s="60">
        <f>159376-J18-J19</f>
        <v>348.17999999999302</v>
      </c>
    </row>
    <row r="19" spans="10:11">
      <c r="J19" s="60">
        <v>2160</v>
      </c>
    </row>
    <row r="20" spans="10:11">
      <c r="J20" s="8">
        <f>SUM(J18:J19)</f>
        <v>159027.82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23"/>
  <sheetViews>
    <sheetView tabSelected="1" workbookViewId="0">
      <selection activeCell="H21" sqref="H21"/>
    </sheetView>
  </sheetViews>
  <sheetFormatPr defaultColWidth="9.140625" defaultRowHeight="15"/>
  <cols>
    <col min="1" max="1" width="4.85546875" style="416" customWidth="1"/>
    <col min="2" max="2" width="14.5703125" style="417" customWidth="1"/>
    <col min="3" max="3" width="10" style="417" customWidth="1"/>
    <col min="4" max="6" width="9.28515625" style="417" bestFit="1" customWidth="1"/>
    <col min="7" max="7" width="0" style="417" hidden="1" customWidth="1"/>
    <col min="8" max="8" width="6.7109375" style="417" bestFit="1" customWidth="1"/>
    <col min="9" max="9" width="6.42578125" style="417" bestFit="1" customWidth="1"/>
    <col min="10" max="10" width="6" style="417" customWidth="1"/>
    <col min="11" max="11" width="0" style="417" hidden="1" customWidth="1"/>
    <col min="12" max="12" width="6.5703125" style="417" customWidth="1"/>
    <col min="13" max="13" width="0" style="417" hidden="1" customWidth="1"/>
    <col min="14" max="15" width="5.85546875" style="417" customWidth="1"/>
    <col min="16" max="16" width="8.28515625" style="417" bestFit="1" customWidth="1"/>
    <col min="17" max="17" width="7.28515625" style="417" customWidth="1"/>
    <col min="18" max="19" width="7" style="417" customWidth="1"/>
    <col min="20" max="20" width="9.28515625" style="417" bestFit="1" customWidth="1"/>
    <col min="21" max="21" width="8.28515625" style="417" bestFit="1" customWidth="1"/>
    <col min="22" max="22" width="8" style="417" customWidth="1"/>
    <col min="23" max="23" width="7.7109375" style="417" bestFit="1" customWidth="1"/>
    <col min="24" max="24" width="9.28515625" style="417" bestFit="1" customWidth="1"/>
    <col min="25" max="25" width="0" style="417" hidden="1" customWidth="1"/>
    <col min="26" max="26" width="6.5703125" style="417" customWidth="1"/>
    <col min="27" max="27" width="0" style="417" hidden="1" customWidth="1"/>
    <col min="28" max="28" width="8.28515625" style="417" customWidth="1"/>
    <col min="29" max="29" width="0" style="417" hidden="1" customWidth="1"/>
    <col min="30" max="30" width="8" style="417" customWidth="1"/>
    <col min="31" max="31" width="6.7109375" style="417" customWidth="1"/>
    <col min="32" max="16384" width="9.140625" style="417"/>
  </cols>
  <sheetData>
    <row r="1" spans="1:45" s="72" customFormat="1" ht="16.5">
      <c r="A1" s="674" t="s">
        <v>237</v>
      </c>
      <c r="B1" s="674"/>
      <c r="C1" s="674"/>
      <c r="D1" s="674"/>
      <c r="E1" s="674"/>
      <c r="F1" s="70"/>
      <c r="G1" s="412"/>
      <c r="H1" s="70"/>
      <c r="I1" s="412"/>
      <c r="J1" s="70"/>
      <c r="K1" s="412"/>
      <c r="L1" s="412"/>
      <c r="M1" s="412"/>
      <c r="N1" s="412"/>
      <c r="O1" s="412"/>
      <c r="P1" s="412"/>
      <c r="Q1" s="412"/>
      <c r="R1" s="412"/>
      <c r="S1" s="672" t="s">
        <v>714</v>
      </c>
      <c r="T1" s="672"/>
      <c r="U1" s="672"/>
      <c r="V1" s="672"/>
      <c r="W1" s="672"/>
      <c r="X1" s="672"/>
      <c r="Y1" s="672"/>
      <c r="Z1" s="672"/>
      <c r="AA1" s="672"/>
      <c r="AB1" s="672"/>
      <c r="AC1" s="672"/>
      <c r="AD1" s="672"/>
      <c r="AE1" s="672"/>
      <c r="AF1" s="71"/>
      <c r="AG1" s="71"/>
      <c r="AH1" s="71"/>
      <c r="AI1" s="71"/>
      <c r="AJ1" s="71"/>
      <c r="AK1" s="71"/>
      <c r="AL1" s="71"/>
      <c r="AM1" s="71"/>
      <c r="AN1" s="71"/>
      <c r="AO1" s="71"/>
      <c r="AP1" s="71"/>
      <c r="AQ1" s="71"/>
      <c r="AR1" s="71"/>
      <c r="AS1" s="71"/>
    </row>
    <row r="2" spans="1:45" s="72" customFormat="1" ht="19.5" customHeight="1">
      <c r="A2" s="673" t="s">
        <v>715</v>
      </c>
      <c r="B2" s="673"/>
      <c r="C2" s="673"/>
      <c r="D2" s="673"/>
      <c r="E2" s="673"/>
      <c r="F2" s="673"/>
      <c r="G2" s="673"/>
      <c r="H2" s="673"/>
      <c r="I2" s="673"/>
      <c r="J2" s="673"/>
      <c r="K2" s="673"/>
      <c r="L2" s="673"/>
      <c r="M2" s="673"/>
      <c r="N2" s="673"/>
      <c r="O2" s="673"/>
      <c r="P2" s="673"/>
      <c r="Q2" s="673"/>
      <c r="R2" s="673"/>
      <c r="S2" s="673"/>
      <c r="T2" s="673"/>
      <c r="U2" s="673"/>
      <c r="V2" s="673"/>
      <c r="W2" s="673"/>
      <c r="X2" s="673"/>
      <c r="Y2" s="673"/>
      <c r="Z2" s="673"/>
      <c r="AA2" s="673"/>
      <c r="AB2" s="673"/>
      <c r="AC2" s="673"/>
      <c r="AD2" s="673"/>
      <c r="AE2" s="673"/>
      <c r="AF2" s="71"/>
      <c r="AG2" s="71"/>
      <c r="AH2" s="71"/>
      <c r="AI2" s="71"/>
      <c r="AJ2" s="71"/>
      <c r="AK2" s="71"/>
      <c r="AL2" s="71"/>
      <c r="AM2" s="71"/>
      <c r="AN2" s="71"/>
      <c r="AO2" s="71"/>
      <c r="AP2" s="71"/>
      <c r="AQ2" s="71"/>
      <c r="AR2" s="71"/>
      <c r="AS2" s="71"/>
    </row>
    <row r="3" spans="1:45" s="72" customFormat="1" ht="19.5" customHeight="1">
      <c r="A3" s="673" t="s">
        <v>716</v>
      </c>
      <c r="B3" s="673"/>
      <c r="C3" s="673"/>
      <c r="D3" s="673"/>
      <c r="E3" s="673"/>
      <c r="F3" s="673"/>
      <c r="G3" s="673"/>
      <c r="H3" s="673"/>
      <c r="I3" s="673"/>
      <c r="J3" s="673"/>
      <c r="K3" s="673"/>
      <c r="L3" s="673"/>
      <c r="M3" s="673"/>
      <c r="N3" s="673"/>
      <c r="O3" s="673"/>
      <c r="P3" s="673"/>
      <c r="Q3" s="673"/>
      <c r="R3" s="673"/>
      <c r="S3" s="673"/>
      <c r="T3" s="673"/>
      <c r="U3" s="673"/>
      <c r="V3" s="673"/>
      <c r="W3" s="673"/>
      <c r="X3" s="673"/>
      <c r="Y3" s="673"/>
      <c r="Z3" s="673"/>
      <c r="AA3" s="673"/>
      <c r="AB3" s="673"/>
      <c r="AC3" s="673"/>
      <c r="AD3" s="673"/>
      <c r="AE3" s="673"/>
      <c r="AF3" s="71"/>
      <c r="AG3" s="71"/>
      <c r="AH3" s="71"/>
      <c r="AI3" s="71"/>
      <c r="AJ3" s="71"/>
      <c r="AK3" s="71"/>
      <c r="AL3" s="71"/>
      <c r="AM3" s="71"/>
      <c r="AN3" s="71"/>
      <c r="AO3" s="71"/>
      <c r="AP3" s="71"/>
      <c r="AQ3" s="71"/>
      <c r="AR3" s="71"/>
      <c r="AS3" s="71"/>
    </row>
    <row r="4" spans="1:45" s="72" customFormat="1" ht="15.75">
      <c r="A4" s="675" t="s">
        <v>790</v>
      </c>
      <c r="B4" s="675"/>
      <c r="C4" s="675"/>
      <c r="D4" s="675"/>
      <c r="E4" s="675"/>
      <c r="F4" s="675"/>
      <c r="G4" s="675"/>
      <c r="H4" s="675"/>
      <c r="I4" s="675"/>
      <c r="J4" s="675"/>
      <c r="K4" s="675"/>
      <c r="L4" s="675"/>
      <c r="M4" s="675"/>
      <c r="N4" s="675"/>
      <c r="O4" s="675"/>
      <c r="P4" s="675"/>
      <c r="Q4" s="675"/>
      <c r="R4" s="675"/>
      <c r="S4" s="675"/>
      <c r="T4" s="675"/>
      <c r="U4" s="675"/>
      <c r="V4" s="675"/>
      <c r="W4" s="675"/>
      <c r="X4" s="675"/>
      <c r="Y4" s="675"/>
      <c r="Z4" s="675"/>
      <c r="AA4" s="675"/>
      <c r="AB4" s="675"/>
      <c r="AC4" s="675"/>
      <c r="AD4" s="675"/>
      <c r="AE4" s="675"/>
      <c r="AF4" s="71"/>
      <c r="AG4" s="71"/>
      <c r="AH4" s="71"/>
      <c r="AI4" s="71"/>
      <c r="AJ4" s="71"/>
      <c r="AK4" s="71"/>
      <c r="AL4" s="71"/>
      <c r="AM4" s="71"/>
      <c r="AN4" s="71"/>
      <c r="AO4" s="71"/>
      <c r="AP4" s="71"/>
      <c r="AQ4" s="71"/>
      <c r="AR4" s="71"/>
      <c r="AS4" s="71"/>
    </row>
    <row r="5" spans="1:45" s="74" customFormat="1" ht="15" customHeight="1">
      <c r="A5" s="680" t="s">
        <v>653</v>
      </c>
      <c r="B5" s="680" t="s">
        <v>717</v>
      </c>
      <c r="C5" s="680" t="s">
        <v>718</v>
      </c>
      <c r="D5" s="680" t="s">
        <v>719</v>
      </c>
      <c r="E5" s="677" t="s">
        <v>168</v>
      </c>
      <c r="F5" s="681" t="s">
        <v>720</v>
      </c>
      <c r="G5" s="682"/>
      <c r="H5" s="682"/>
      <c r="I5" s="682"/>
      <c r="J5" s="682"/>
      <c r="K5" s="682"/>
      <c r="L5" s="682"/>
      <c r="M5" s="682"/>
      <c r="N5" s="682"/>
      <c r="O5" s="682"/>
      <c r="P5" s="682"/>
      <c r="Q5" s="682"/>
      <c r="R5" s="682"/>
      <c r="S5" s="682"/>
      <c r="T5" s="682"/>
      <c r="U5" s="682"/>
      <c r="V5" s="682"/>
      <c r="W5" s="682"/>
      <c r="X5" s="682"/>
      <c r="Y5" s="682"/>
      <c r="Z5" s="682"/>
      <c r="AA5" s="682"/>
      <c r="AB5" s="682"/>
      <c r="AC5" s="682"/>
      <c r="AD5" s="682"/>
      <c r="AE5" s="683"/>
      <c r="AF5" s="73"/>
      <c r="AG5" s="73"/>
      <c r="AH5" s="73"/>
      <c r="AI5" s="73"/>
      <c r="AJ5" s="73"/>
      <c r="AK5" s="73"/>
      <c r="AL5" s="73"/>
      <c r="AM5" s="73"/>
      <c r="AN5" s="73"/>
      <c r="AO5" s="73"/>
      <c r="AP5" s="73"/>
      <c r="AQ5" s="73"/>
      <c r="AR5" s="73"/>
      <c r="AS5" s="73"/>
    </row>
    <row r="6" spans="1:45" s="76" customFormat="1" ht="24" customHeight="1">
      <c r="A6" s="678"/>
      <c r="B6" s="678"/>
      <c r="C6" s="678"/>
      <c r="D6" s="678"/>
      <c r="E6" s="678"/>
      <c r="F6" s="667" t="s">
        <v>721</v>
      </c>
      <c r="G6" s="670"/>
      <c r="H6" s="667" t="s">
        <v>722</v>
      </c>
      <c r="I6" s="670"/>
      <c r="J6" s="667" t="s">
        <v>723</v>
      </c>
      <c r="K6" s="670"/>
      <c r="L6" s="667" t="s">
        <v>92</v>
      </c>
      <c r="M6" s="668"/>
      <c r="N6" s="667" t="s">
        <v>724</v>
      </c>
      <c r="O6" s="668"/>
      <c r="P6" s="670" t="s">
        <v>725</v>
      </c>
      <c r="Q6" s="668"/>
      <c r="R6" s="670" t="s">
        <v>652</v>
      </c>
      <c r="S6" s="668"/>
      <c r="T6" s="667" t="s">
        <v>726</v>
      </c>
      <c r="U6" s="670"/>
      <c r="V6" s="667" t="s">
        <v>727</v>
      </c>
      <c r="W6" s="670"/>
      <c r="X6" s="667" t="s">
        <v>728</v>
      </c>
      <c r="Y6" s="668"/>
      <c r="Z6" s="684" t="s">
        <v>742</v>
      </c>
      <c r="AA6" s="685"/>
      <c r="AB6" s="667" t="s">
        <v>729</v>
      </c>
      <c r="AC6" s="668"/>
      <c r="AD6" s="670" t="s">
        <v>106</v>
      </c>
      <c r="AE6" s="668"/>
      <c r="AF6" s="75"/>
      <c r="AG6" s="75"/>
      <c r="AH6" s="75"/>
      <c r="AI6" s="75"/>
      <c r="AJ6" s="75"/>
      <c r="AK6" s="75"/>
      <c r="AL6" s="75"/>
      <c r="AM6" s="75"/>
      <c r="AN6" s="75"/>
      <c r="AO6" s="75"/>
      <c r="AP6" s="75"/>
      <c r="AQ6" s="75"/>
      <c r="AR6" s="75"/>
      <c r="AS6" s="75"/>
    </row>
    <row r="7" spans="1:45" s="76" customFormat="1" ht="30" customHeight="1">
      <c r="A7" s="678"/>
      <c r="B7" s="678"/>
      <c r="C7" s="678"/>
      <c r="D7" s="678"/>
      <c r="E7" s="679"/>
      <c r="F7" s="671"/>
      <c r="G7" s="671"/>
      <c r="H7" s="671"/>
      <c r="I7" s="671"/>
      <c r="J7" s="671"/>
      <c r="K7" s="671"/>
      <c r="L7" s="669"/>
      <c r="M7" s="669"/>
      <c r="N7" s="669"/>
      <c r="O7" s="669"/>
      <c r="P7" s="669"/>
      <c r="Q7" s="669"/>
      <c r="R7" s="669"/>
      <c r="S7" s="669"/>
      <c r="T7" s="671"/>
      <c r="U7" s="671"/>
      <c r="V7" s="671"/>
      <c r="W7" s="671"/>
      <c r="X7" s="669"/>
      <c r="Y7" s="669"/>
      <c r="Z7" s="686"/>
      <c r="AA7" s="687"/>
      <c r="AB7" s="669"/>
      <c r="AC7" s="669"/>
      <c r="AD7" s="669"/>
      <c r="AE7" s="669"/>
      <c r="AF7" s="75"/>
      <c r="AG7" s="75"/>
      <c r="AH7" s="75"/>
      <c r="AI7" s="75"/>
      <c r="AJ7" s="75"/>
      <c r="AK7" s="75"/>
      <c r="AL7" s="75"/>
      <c r="AM7" s="75"/>
      <c r="AN7" s="75"/>
      <c r="AO7" s="75"/>
      <c r="AP7" s="75"/>
      <c r="AQ7" s="75"/>
      <c r="AR7" s="75"/>
      <c r="AS7" s="75"/>
    </row>
    <row r="8" spans="1:45" s="72" customFormat="1" ht="21" customHeight="1">
      <c r="A8" s="306" t="s">
        <v>730</v>
      </c>
      <c r="B8" s="404" t="s">
        <v>591</v>
      </c>
      <c r="C8" s="311">
        <f>F8+H8+J8+L8+N8+P8+R8+T8+V8+X8+Z8+AB8+AD8</f>
        <v>53446</v>
      </c>
      <c r="D8" s="311">
        <f>G8+I8+K8+M8+O8+Q8+S8+U8+W8+Y8+AA8+AC8+AE8</f>
        <v>4211</v>
      </c>
      <c r="E8" s="312">
        <f>U8</f>
        <v>3500</v>
      </c>
      <c r="F8" s="414">
        <f>9500+210+200</f>
        <v>9910</v>
      </c>
      <c r="G8" s="312">
        <v>0</v>
      </c>
      <c r="H8" s="312">
        <f>420+30</f>
        <v>450</v>
      </c>
      <c r="I8" s="312">
        <v>0</v>
      </c>
      <c r="J8" s="312">
        <v>40</v>
      </c>
      <c r="K8" s="312">
        <v>0</v>
      </c>
      <c r="L8" s="312">
        <f>200+30</f>
        <v>230</v>
      </c>
      <c r="M8" s="312">
        <v>0</v>
      </c>
      <c r="N8" s="312">
        <v>27</v>
      </c>
      <c r="O8" s="312">
        <f>N8</f>
        <v>27</v>
      </c>
      <c r="P8" s="312">
        <f>395+100</f>
        <v>495</v>
      </c>
      <c r="Q8" s="312">
        <v>150</v>
      </c>
      <c r="R8" s="312">
        <v>234</v>
      </c>
      <c r="S8" s="312">
        <f>R8</f>
        <v>234</v>
      </c>
      <c r="T8" s="312">
        <v>35000</v>
      </c>
      <c r="U8" s="312">
        <f>T8*0.1</f>
        <v>3500</v>
      </c>
      <c r="V8" s="312">
        <f>2500+500</f>
        <v>3000</v>
      </c>
      <c r="W8" s="311">
        <f>250</f>
        <v>250</v>
      </c>
      <c r="X8" s="313">
        <v>2500</v>
      </c>
      <c r="Y8" s="312">
        <v>0</v>
      </c>
      <c r="Z8" s="312"/>
      <c r="AA8" s="312"/>
      <c r="AB8" s="312">
        <v>330</v>
      </c>
      <c r="AC8" s="309">
        <v>0</v>
      </c>
      <c r="AD8" s="312">
        <v>1230</v>
      </c>
      <c r="AE8" s="312">
        <v>50</v>
      </c>
      <c r="AF8" s="77"/>
      <c r="AG8" s="77"/>
      <c r="AH8" s="77"/>
      <c r="AI8" s="71"/>
      <c r="AJ8" s="71"/>
      <c r="AK8" s="71"/>
      <c r="AL8" s="71"/>
      <c r="AM8" s="71"/>
      <c r="AN8" s="71"/>
      <c r="AO8" s="71"/>
      <c r="AP8" s="71"/>
      <c r="AQ8" s="71"/>
      <c r="AR8" s="71"/>
      <c r="AS8" s="71"/>
    </row>
    <row r="9" spans="1:45" s="72" customFormat="1" ht="21" customHeight="1">
      <c r="A9" s="307" t="s">
        <v>731</v>
      </c>
      <c r="B9" s="405" t="s">
        <v>732</v>
      </c>
      <c r="C9" s="314">
        <f t="shared" ref="C9:D18" si="0">F9+H9+J9+L9+N9+P9+R9+T9+V9+X9+Z9+AB9+AD9</f>
        <v>37151</v>
      </c>
      <c r="D9" s="314">
        <f t="shared" si="0"/>
        <v>96</v>
      </c>
      <c r="E9" s="313">
        <f t="shared" ref="E9:E19" si="1">U9</f>
        <v>20</v>
      </c>
      <c r="F9" s="415">
        <f>35020</f>
        <v>35020</v>
      </c>
      <c r="G9" s="313">
        <v>0</v>
      </c>
      <c r="H9" s="313">
        <v>120</v>
      </c>
      <c r="I9" s="313">
        <v>0</v>
      </c>
      <c r="J9" s="313"/>
      <c r="K9" s="313">
        <v>0</v>
      </c>
      <c r="L9" s="313">
        <v>150</v>
      </c>
      <c r="M9" s="313">
        <v>0</v>
      </c>
      <c r="N9" s="313">
        <v>1</v>
      </c>
      <c r="O9" s="313">
        <v>1</v>
      </c>
      <c r="P9" s="313">
        <v>110</v>
      </c>
      <c r="Q9" s="313">
        <v>10</v>
      </c>
      <c r="R9" s="313">
        <v>20</v>
      </c>
      <c r="S9" s="313">
        <f t="shared" ref="S9:S18" si="2">R9</f>
        <v>20</v>
      </c>
      <c r="T9" s="313">
        <v>200</v>
      </c>
      <c r="U9" s="313">
        <f t="shared" ref="U9:U17" si="3">T9*0.1</f>
        <v>20</v>
      </c>
      <c r="V9" s="313">
        <f>30+200</f>
        <v>230</v>
      </c>
      <c r="W9" s="314">
        <v>15</v>
      </c>
      <c r="X9" s="313">
        <v>1000</v>
      </c>
      <c r="Y9" s="313">
        <v>0</v>
      </c>
      <c r="Z9" s="313">
        <v>70</v>
      </c>
      <c r="AA9" s="313">
        <v>0</v>
      </c>
      <c r="AB9" s="313">
        <v>200</v>
      </c>
      <c r="AC9" s="310">
        <v>0</v>
      </c>
      <c r="AD9" s="313">
        <v>30</v>
      </c>
      <c r="AE9" s="313">
        <v>30</v>
      </c>
      <c r="AF9" s="77"/>
      <c r="AG9" s="77"/>
      <c r="AH9" s="77"/>
      <c r="AI9" s="71"/>
      <c r="AJ9" s="71"/>
      <c r="AK9" s="71"/>
      <c r="AL9" s="71"/>
      <c r="AM9" s="71"/>
      <c r="AN9" s="71"/>
      <c r="AO9" s="71"/>
      <c r="AP9" s="71"/>
      <c r="AQ9" s="71"/>
      <c r="AR9" s="71"/>
      <c r="AS9" s="71"/>
    </row>
    <row r="10" spans="1:45" s="72" customFormat="1" ht="21" customHeight="1">
      <c r="A10" s="307" t="s">
        <v>733</v>
      </c>
      <c r="B10" s="405" t="s">
        <v>734</v>
      </c>
      <c r="C10" s="314">
        <f t="shared" si="0"/>
        <v>508</v>
      </c>
      <c r="D10" s="314">
        <f t="shared" si="0"/>
        <v>38</v>
      </c>
      <c r="E10" s="313">
        <f t="shared" si="1"/>
        <v>10</v>
      </c>
      <c r="F10" s="415">
        <v>50</v>
      </c>
      <c r="G10" s="313">
        <v>0</v>
      </c>
      <c r="H10" s="313"/>
      <c r="I10" s="313">
        <v>0</v>
      </c>
      <c r="J10" s="313"/>
      <c r="K10" s="313">
        <v>0</v>
      </c>
      <c r="L10" s="313">
        <v>20</v>
      </c>
      <c r="M10" s="313">
        <v>0</v>
      </c>
      <c r="N10" s="313">
        <v>0</v>
      </c>
      <c r="O10" s="313">
        <f t="shared" ref="O10:O18" si="4">N10*0.7</f>
        <v>0</v>
      </c>
      <c r="P10" s="313">
        <v>90</v>
      </c>
      <c r="Q10" s="313">
        <v>10</v>
      </c>
      <c r="R10" s="313">
        <v>5</v>
      </c>
      <c r="S10" s="313">
        <f t="shared" si="2"/>
        <v>5</v>
      </c>
      <c r="T10" s="313">
        <v>100</v>
      </c>
      <c r="U10" s="313">
        <f t="shared" si="3"/>
        <v>10</v>
      </c>
      <c r="V10" s="313">
        <v>120</v>
      </c>
      <c r="W10" s="314">
        <v>10</v>
      </c>
      <c r="X10" s="313">
        <v>100</v>
      </c>
      <c r="Y10" s="313">
        <v>0</v>
      </c>
      <c r="Z10" s="313"/>
      <c r="AA10" s="313">
        <v>0</v>
      </c>
      <c r="AB10" s="313">
        <v>20</v>
      </c>
      <c r="AC10" s="310">
        <v>0</v>
      </c>
      <c r="AD10" s="313">
        <v>3</v>
      </c>
      <c r="AE10" s="313">
        <f t="shared" ref="AE10:AE17" si="5">AD10</f>
        <v>3</v>
      </c>
      <c r="AF10" s="77"/>
      <c r="AG10" s="77"/>
      <c r="AH10" s="77"/>
      <c r="AI10" s="71"/>
      <c r="AJ10" s="71"/>
      <c r="AK10" s="71"/>
      <c r="AL10" s="71"/>
      <c r="AM10" s="71"/>
      <c r="AN10" s="71"/>
      <c r="AO10" s="71"/>
      <c r="AP10" s="71"/>
      <c r="AQ10" s="71"/>
      <c r="AR10" s="71"/>
      <c r="AS10" s="71"/>
    </row>
    <row r="11" spans="1:45" s="72" customFormat="1" ht="21" customHeight="1">
      <c r="A11" s="307" t="s">
        <v>735</v>
      </c>
      <c r="B11" s="405" t="s">
        <v>582</v>
      </c>
      <c r="C11" s="314">
        <f t="shared" si="0"/>
        <v>27301</v>
      </c>
      <c r="D11" s="314">
        <f>G11+I11+K11+M11+O11+Q11+S11+U11+W11+Y11+AA11+AC11+AE11</f>
        <v>86</v>
      </c>
      <c r="E11" s="313">
        <f t="shared" si="1"/>
        <v>10</v>
      </c>
      <c r="F11" s="415">
        <v>25780</v>
      </c>
      <c r="G11" s="313">
        <v>0</v>
      </c>
      <c r="H11" s="313">
        <v>100</v>
      </c>
      <c r="I11" s="313">
        <v>0</v>
      </c>
      <c r="J11" s="313"/>
      <c r="K11" s="313">
        <v>0</v>
      </c>
      <c r="L11" s="313">
        <f>100+10</f>
        <v>110</v>
      </c>
      <c r="M11" s="313">
        <v>0</v>
      </c>
      <c r="N11" s="313">
        <v>1</v>
      </c>
      <c r="O11" s="313">
        <f>N11</f>
        <v>1</v>
      </c>
      <c r="P11" s="313">
        <v>40</v>
      </c>
      <c r="Q11" s="313">
        <v>20</v>
      </c>
      <c r="R11" s="313">
        <v>20</v>
      </c>
      <c r="S11" s="313">
        <f t="shared" si="2"/>
        <v>20</v>
      </c>
      <c r="T11" s="313">
        <v>100</v>
      </c>
      <c r="U11" s="313">
        <f t="shared" si="3"/>
        <v>10</v>
      </c>
      <c r="V11" s="313">
        <v>230</v>
      </c>
      <c r="W11" s="314">
        <f>15</f>
        <v>15</v>
      </c>
      <c r="X11" s="313">
        <v>500</v>
      </c>
      <c r="Y11" s="313">
        <v>0</v>
      </c>
      <c r="Z11" s="313">
        <v>100</v>
      </c>
      <c r="AA11" s="313">
        <v>0</v>
      </c>
      <c r="AB11" s="313">
        <v>300</v>
      </c>
      <c r="AC11" s="310">
        <v>0</v>
      </c>
      <c r="AD11" s="313">
        <v>20</v>
      </c>
      <c r="AE11" s="313">
        <f t="shared" si="5"/>
        <v>20</v>
      </c>
      <c r="AF11" s="77"/>
      <c r="AG11" s="77"/>
      <c r="AH11" s="77"/>
      <c r="AI11" s="71"/>
      <c r="AJ11" s="71"/>
      <c r="AK11" s="71"/>
      <c r="AL11" s="71"/>
      <c r="AM11" s="71"/>
      <c r="AN11" s="71"/>
      <c r="AO11" s="71"/>
      <c r="AP11" s="71"/>
      <c r="AQ11" s="71"/>
      <c r="AR11" s="71"/>
      <c r="AS11" s="71"/>
    </row>
    <row r="12" spans="1:45" s="72" customFormat="1" ht="21" customHeight="1">
      <c r="A12" s="307" t="s">
        <v>736</v>
      </c>
      <c r="B12" s="405" t="s">
        <v>594</v>
      </c>
      <c r="C12" s="314">
        <f t="shared" si="0"/>
        <v>479</v>
      </c>
      <c r="D12" s="314">
        <f t="shared" si="0"/>
        <v>54</v>
      </c>
      <c r="E12" s="313">
        <f t="shared" si="1"/>
        <v>10</v>
      </c>
      <c r="F12" s="415">
        <f>20</f>
        <v>20</v>
      </c>
      <c r="G12" s="313">
        <v>0</v>
      </c>
      <c r="H12" s="313"/>
      <c r="I12" s="313">
        <v>0</v>
      </c>
      <c r="J12" s="313"/>
      <c r="K12" s="313">
        <v>0</v>
      </c>
      <c r="L12" s="313"/>
      <c r="M12" s="313">
        <v>0</v>
      </c>
      <c r="N12" s="313">
        <v>1</v>
      </c>
      <c r="O12" s="313">
        <f>N12</f>
        <v>1</v>
      </c>
      <c r="P12" s="313">
        <v>15</v>
      </c>
      <c r="Q12" s="313">
        <v>15</v>
      </c>
      <c r="R12" s="313">
        <v>3</v>
      </c>
      <c r="S12" s="313">
        <f t="shared" si="2"/>
        <v>3</v>
      </c>
      <c r="T12" s="313">
        <v>100</v>
      </c>
      <c r="U12" s="313">
        <f t="shared" si="3"/>
        <v>10</v>
      </c>
      <c r="V12" s="313">
        <f>230</f>
        <v>230</v>
      </c>
      <c r="W12" s="314">
        <v>15</v>
      </c>
      <c r="X12" s="313">
        <v>100</v>
      </c>
      <c r="Y12" s="313">
        <v>0</v>
      </c>
      <c r="Z12" s="313"/>
      <c r="AA12" s="313">
        <v>0</v>
      </c>
      <c r="AB12" s="313"/>
      <c r="AC12" s="310">
        <v>0</v>
      </c>
      <c r="AD12" s="313">
        <v>10</v>
      </c>
      <c r="AE12" s="313">
        <f t="shared" si="5"/>
        <v>10</v>
      </c>
      <c r="AF12" s="77"/>
      <c r="AG12" s="77"/>
      <c r="AH12" s="77"/>
      <c r="AI12" s="71"/>
      <c r="AJ12" s="71"/>
      <c r="AK12" s="71"/>
      <c r="AL12" s="71"/>
      <c r="AM12" s="71"/>
      <c r="AN12" s="71"/>
      <c r="AO12" s="71"/>
      <c r="AP12" s="71"/>
      <c r="AQ12" s="71"/>
      <c r="AR12" s="71"/>
      <c r="AS12" s="71"/>
    </row>
    <row r="13" spans="1:45" s="72" customFormat="1" ht="21" customHeight="1">
      <c r="A13" s="307" t="s">
        <v>737</v>
      </c>
      <c r="B13" s="405" t="s">
        <v>579</v>
      </c>
      <c r="C13" s="314">
        <f t="shared" si="0"/>
        <v>798</v>
      </c>
      <c r="D13" s="314">
        <f t="shared" si="0"/>
        <v>88</v>
      </c>
      <c r="E13" s="313">
        <f t="shared" si="1"/>
        <v>65</v>
      </c>
      <c r="F13" s="415">
        <f>20</f>
        <v>20</v>
      </c>
      <c r="G13" s="313">
        <v>0</v>
      </c>
      <c r="H13" s="313"/>
      <c r="I13" s="313">
        <v>0</v>
      </c>
      <c r="J13" s="313"/>
      <c r="K13" s="313">
        <v>0</v>
      </c>
      <c r="L13" s="313"/>
      <c r="M13" s="313">
        <v>0</v>
      </c>
      <c r="N13" s="313">
        <v>0</v>
      </c>
      <c r="O13" s="313">
        <f t="shared" si="4"/>
        <v>0</v>
      </c>
      <c r="P13" s="313">
        <v>5</v>
      </c>
      <c r="Q13" s="313">
        <v>5</v>
      </c>
      <c r="R13" s="313">
        <v>3</v>
      </c>
      <c r="S13" s="313">
        <f t="shared" si="2"/>
        <v>3</v>
      </c>
      <c r="T13" s="313">
        <v>650</v>
      </c>
      <c r="U13" s="313">
        <f t="shared" si="3"/>
        <v>65</v>
      </c>
      <c r="V13" s="313">
        <v>60</v>
      </c>
      <c r="W13" s="314">
        <v>5</v>
      </c>
      <c r="X13" s="313">
        <v>50</v>
      </c>
      <c r="Y13" s="313">
        <v>0</v>
      </c>
      <c r="Z13" s="313"/>
      <c r="AA13" s="313">
        <v>0</v>
      </c>
      <c r="AB13" s="313">
        <v>0</v>
      </c>
      <c r="AC13" s="310">
        <v>0</v>
      </c>
      <c r="AD13" s="313">
        <v>10</v>
      </c>
      <c r="AE13" s="313">
        <f t="shared" si="5"/>
        <v>10</v>
      </c>
      <c r="AF13" s="77"/>
      <c r="AG13" s="77"/>
      <c r="AH13" s="77"/>
      <c r="AI13" s="71"/>
      <c r="AJ13" s="71"/>
      <c r="AK13" s="71"/>
      <c r="AL13" s="71"/>
      <c r="AM13" s="71"/>
      <c r="AN13" s="71"/>
      <c r="AO13" s="71"/>
      <c r="AP13" s="71"/>
      <c r="AQ13" s="71"/>
      <c r="AR13" s="71"/>
      <c r="AS13" s="71"/>
    </row>
    <row r="14" spans="1:45" s="72" customFormat="1" ht="21" customHeight="1">
      <c r="A14" s="307" t="s">
        <v>738</v>
      </c>
      <c r="B14" s="405" t="s">
        <v>580</v>
      </c>
      <c r="C14" s="324">
        <f t="shared" si="0"/>
        <v>635</v>
      </c>
      <c r="D14" s="314">
        <f t="shared" si="0"/>
        <v>75</v>
      </c>
      <c r="E14" s="313">
        <f t="shared" si="1"/>
        <v>10</v>
      </c>
      <c r="F14" s="415">
        <f>50</f>
        <v>50</v>
      </c>
      <c r="G14" s="313">
        <v>0</v>
      </c>
      <c r="H14" s="313"/>
      <c r="I14" s="313">
        <v>0</v>
      </c>
      <c r="J14" s="313"/>
      <c r="K14" s="313">
        <v>0</v>
      </c>
      <c r="L14" s="313">
        <v>90</v>
      </c>
      <c r="M14" s="313">
        <v>0</v>
      </c>
      <c r="N14" s="313">
        <v>0</v>
      </c>
      <c r="O14" s="313">
        <f t="shared" si="4"/>
        <v>0</v>
      </c>
      <c r="P14" s="313">
        <v>145</v>
      </c>
      <c r="Q14" s="313">
        <v>25</v>
      </c>
      <c r="R14" s="313">
        <v>10</v>
      </c>
      <c r="S14" s="313">
        <f t="shared" si="2"/>
        <v>10</v>
      </c>
      <c r="T14" s="313">
        <v>100</v>
      </c>
      <c r="U14" s="313">
        <f t="shared" si="3"/>
        <v>10</v>
      </c>
      <c r="V14" s="313">
        <v>120</v>
      </c>
      <c r="W14" s="314">
        <v>10</v>
      </c>
      <c r="X14" s="313">
        <v>100</v>
      </c>
      <c r="Y14" s="313">
        <v>0</v>
      </c>
      <c r="Z14" s="313"/>
      <c r="AA14" s="313">
        <v>0</v>
      </c>
      <c r="AB14" s="313"/>
      <c r="AC14" s="310">
        <v>0</v>
      </c>
      <c r="AD14" s="313">
        <v>20</v>
      </c>
      <c r="AE14" s="313">
        <f t="shared" si="5"/>
        <v>20</v>
      </c>
      <c r="AF14" s="77"/>
      <c r="AG14" s="77"/>
      <c r="AH14" s="77"/>
      <c r="AI14" s="71"/>
      <c r="AJ14" s="71"/>
      <c r="AK14" s="71"/>
      <c r="AL14" s="71"/>
      <c r="AM14" s="71"/>
      <c r="AN14" s="71"/>
      <c r="AO14" s="71"/>
      <c r="AP14" s="71"/>
      <c r="AQ14" s="71"/>
      <c r="AR14" s="71"/>
      <c r="AS14" s="71"/>
    </row>
    <row r="15" spans="1:45" s="72" customFormat="1" ht="21" customHeight="1">
      <c r="A15" s="307" t="s">
        <v>739</v>
      </c>
      <c r="B15" s="405" t="s">
        <v>581</v>
      </c>
      <c r="C15" s="324">
        <f t="shared" si="0"/>
        <v>106</v>
      </c>
      <c r="D15" s="314">
        <f t="shared" si="0"/>
        <v>21</v>
      </c>
      <c r="E15" s="313">
        <f t="shared" si="1"/>
        <v>0</v>
      </c>
      <c r="F15" s="415">
        <v>10</v>
      </c>
      <c r="G15" s="313">
        <v>0</v>
      </c>
      <c r="H15" s="313"/>
      <c r="I15" s="313">
        <v>0</v>
      </c>
      <c r="J15" s="313"/>
      <c r="K15" s="313">
        <v>0</v>
      </c>
      <c r="L15" s="313"/>
      <c r="M15" s="313">
        <v>0</v>
      </c>
      <c r="N15" s="313">
        <v>0</v>
      </c>
      <c r="O15" s="313">
        <f t="shared" si="4"/>
        <v>0</v>
      </c>
      <c r="P15" s="313">
        <v>10</v>
      </c>
      <c r="Q15" s="313">
        <f>P15</f>
        <v>10</v>
      </c>
      <c r="R15" s="313">
        <v>5</v>
      </c>
      <c r="S15" s="313">
        <f t="shared" si="2"/>
        <v>5</v>
      </c>
      <c r="T15" s="313">
        <v>0</v>
      </c>
      <c r="U15" s="313">
        <f t="shared" si="3"/>
        <v>0</v>
      </c>
      <c r="V15" s="313">
        <v>30</v>
      </c>
      <c r="W15" s="314">
        <v>5</v>
      </c>
      <c r="X15" s="313">
        <v>50</v>
      </c>
      <c r="Y15" s="313">
        <v>0</v>
      </c>
      <c r="Z15" s="313"/>
      <c r="AA15" s="313">
        <v>0</v>
      </c>
      <c r="AB15" s="313"/>
      <c r="AC15" s="310">
        <v>0</v>
      </c>
      <c r="AD15" s="313">
        <v>1</v>
      </c>
      <c r="AE15" s="313">
        <f t="shared" si="5"/>
        <v>1</v>
      </c>
      <c r="AF15" s="77"/>
      <c r="AG15" s="77"/>
      <c r="AH15" s="77"/>
      <c r="AI15" s="71"/>
      <c r="AJ15" s="71"/>
      <c r="AK15" s="71"/>
      <c r="AL15" s="71"/>
      <c r="AM15" s="71"/>
      <c r="AN15" s="71"/>
      <c r="AO15" s="71"/>
      <c r="AP15" s="71"/>
      <c r="AQ15" s="71"/>
      <c r="AR15" s="71"/>
      <c r="AS15" s="71"/>
    </row>
    <row r="16" spans="1:45" s="72" customFormat="1" ht="21" customHeight="1">
      <c r="A16" s="307" t="s">
        <v>740</v>
      </c>
      <c r="B16" s="405" t="s">
        <v>741</v>
      </c>
      <c r="C16" s="324">
        <f t="shared" si="0"/>
        <v>490</v>
      </c>
      <c r="D16" s="314">
        <f t="shared" si="0"/>
        <v>65</v>
      </c>
      <c r="E16" s="313">
        <f t="shared" si="1"/>
        <v>10</v>
      </c>
      <c r="F16" s="415">
        <v>50</v>
      </c>
      <c r="G16" s="313">
        <v>0</v>
      </c>
      <c r="H16" s="313"/>
      <c r="I16" s="313">
        <v>0</v>
      </c>
      <c r="J16" s="313"/>
      <c r="K16" s="313">
        <v>0</v>
      </c>
      <c r="L16" s="313"/>
      <c r="M16" s="313">
        <v>0</v>
      </c>
      <c r="N16" s="313">
        <v>0</v>
      </c>
      <c r="O16" s="313">
        <f t="shared" si="4"/>
        <v>0</v>
      </c>
      <c r="P16" s="313">
        <v>10</v>
      </c>
      <c r="Q16" s="313">
        <v>10</v>
      </c>
      <c r="R16" s="313">
        <v>10</v>
      </c>
      <c r="S16" s="313">
        <f t="shared" si="2"/>
        <v>10</v>
      </c>
      <c r="T16" s="313">
        <v>100</v>
      </c>
      <c r="U16" s="313">
        <f t="shared" si="3"/>
        <v>10</v>
      </c>
      <c r="V16" s="313">
        <f>100</f>
        <v>100</v>
      </c>
      <c r="W16" s="314">
        <v>15</v>
      </c>
      <c r="X16" s="313">
        <v>200</v>
      </c>
      <c r="Y16" s="313">
        <v>0</v>
      </c>
      <c r="Z16" s="313"/>
      <c r="AA16" s="313">
        <v>0</v>
      </c>
      <c r="AB16" s="313"/>
      <c r="AC16" s="310">
        <v>0</v>
      </c>
      <c r="AD16" s="313">
        <v>20</v>
      </c>
      <c r="AE16" s="313">
        <f t="shared" si="5"/>
        <v>20</v>
      </c>
      <c r="AF16" s="77"/>
      <c r="AG16" s="77"/>
      <c r="AH16" s="77"/>
      <c r="AI16" s="71"/>
      <c r="AJ16" s="71"/>
      <c r="AK16" s="71"/>
      <c r="AL16" s="71"/>
      <c r="AM16" s="71"/>
      <c r="AN16" s="71"/>
      <c r="AO16" s="71"/>
      <c r="AP16" s="71"/>
      <c r="AQ16" s="71"/>
      <c r="AR16" s="71"/>
      <c r="AS16" s="71"/>
    </row>
    <row r="17" spans="1:45" s="72" customFormat="1" ht="21" customHeight="1">
      <c r="A17" s="307" t="s">
        <v>645</v>
      </c>
      <c r="B17" s="405" t="s">
        <v>578</v>
      </c>
      <c r="C17" s="324">
        <f t="shared" si="0"/>
        <v>19520</v>
      </c>
      <c r="D17" s="314">
        <f>G17+I17+K17+M17+O17+Q17+S17+U17+W17+Y17+AA17+AC17+AE17</f>
        <v>80</v>
      </c>
      <c r="E17" s="313">
        <f t="shared" si="1"/>
        <v>5</v>
      </c>
      <c r="F17" s="415">
        <v>18500</v>
      </c>
      <c r="G17" s="313">
        <v>0</v>
      </c>
      <c r="H17" s="313"/>
      <c r="I17" s="313">
        <v>0</v>
      </c>
      <c r="J17" s="313"/>
      <c r="K17" s="313">
        <v>0</v>
      </c>
      <c r="L17" s="313">
        <v>80</v>
      </c>
      <c r="M17" s="313">
        <v>0</v>
      </c>
      <c r="N17" s="313">
        <v>0</v>
      </c>
      <c r="O17" s="313">
        <f t="shared" si="4"/>
        <v>0</v>
      </c>
      <c r="P17" s="313">
        <v>20</v>
      </c>
      <c r="Q17" s="313">
        <v>20</v>
      </c>
      <c r="R17" s="313">
        <v>10</v>
      </c>
      <c r="S17" s="313">
        <f t="shared" si="2"/>
        <v>10</v>
      </c>
      <c r="T17" s="313">
        <v>50</v>
      </c>
      <c r="U17" s="313">
        <f t="shared" si="3"/>
        <v>5</v>
      </c>
      <c r="V17" s="313">
        <v>130</v>
      </c>
      <c r="W17" s="314">
        <v>15</v>
      </c>
      <c r="X17" s="313">
        <v>200</v>
      </c>
      <c r="Y17" s="313">
        <v>0</v>
      </c>
      <c r="Z17" s="313"/>
      <c r="AA17" s="313">
        <v>0</v>
      </c>
      <c r="AB17" s="313">
        <v>500</v>
      </c>
      <c r="AC17" s="310">
        <v>0</v>
      </c>
      <c r="AD17" s="313">
        <v>30</v>
      </c>
      <c r="AE17" s="313">
        <f t="shared" si="5"/>
        <v>30</v>
      </c>
      <c r="AF17" s="77"/>
      <c r="AG17" s="77"/>
      <c r="AH17" s="77"/>
      <c r="AI17" s="71"/>
      <c r="AJ17" s="71"/>
      <c r="AK17" s="71"/>
      <c r="AL17" s="71"/>
      <c r="AM17" s="71"/>
      <c r="AN17" s="71"/>
      <c r="AO17" s="71"/>
      <c r="AP17" s="71"/>
      <c r="AQ17" s="71"/>
      <c r="AR17" s="71"/>
      <c r="AS17" s="71"/>
    </row>
    <row r="18" spans="1:45" s="72" customFormat="1" ht="21" customHeight="1">
      <c r="A18" s="420" t="s">
        <v>646</v>
      </c>
      <c r="B18" s="421" t="s">
        <v>830</v>
      </c>
      <c r="C18" s="422">
        <f t="shared" si="0"/>
        <v>75786</v>
      </c>
      <c r="D18" s="422">
        <f t="shared" si="0"/>
        <v>5115</v>
      </c>
      <c r="E18" s="423">
        <f t="shared" si="1"/>
        <v>5000</v>
      </c>
      <c r="F18" s="424">
        <f>500+8325</f>
        <v>8825</v>
      </c>
      <c r="G18" s="423">
        <v>0</v>
      </c>
      <c r="H18" s="423"/>
      <c r="I18" s="423">
        <v>0</v>
      </c>
      <c r="J18" s="423"/>
      <c r="K18" s="423">
        <v>0</v>
      </c>
      <c r="L18" s="423">
        <f>30+20+15</f>
        <v>65</v>
      </c>
      <c r="M18" s="423">
        <v>0</v>
      </c>
      <c r="N18" s="423">
        <v>0</v>
      </c>
      <c r="O18" s="423">
        <f t="shared" si="4"/>
        <v>0</v>
      </c>
      <c r="P18" s="423">
        <f>20+50</f>
        <v>70</v>
      </c>
      <c r="Q18" s="423">
        <v>50</v>
      </c>
      <c r="R18" s="423">
        <v>20</v>
      </c>
      <c r="S18" s="423">
        <f t="shared" si="2"/>
        <v>20</v>
      </c>
      <c r="T18" s="423">
        <v>65000</v>
      </c>
      <c r="U18" s="423">
        <v>5000</v>
      </c>
      <c r="V18" s="423">
        <v>250</v>
      </c>
      <c r="W18" s="422">
        <v>25</v>
      </c>
      <c r="X18" s="423">
        <v>500</v>
      </c>
      <c r="Y18" s="423">
        <v>0</v>
      </c>
      <c r="Z18" s="423">
        <v>10</v>
      </c>
      <c r="AA18" s="423">
        <v>0</v>
      </c>
      <c r="AB18" s="423">
        <v>1000</v>
      </c>
      <c r="AC18" s="425">
        <v>0</v>
      </c>
      <c r="AD18" s="423">
        <v>46</v>
      </c>
      <c r="AE18" s="423">
        <v>20</v>
      </c>
      <c r="AF18" s="77"/>
      <c r="AG18" s="77"/>
      <c r="AH18" s="77"/>
      <c r="AI18" s="71"/>
      <c r="AJ18" s="71"/>
      <c r="AK18" s="71"/>
      <c r="AL18" s="71"/>
      <c r="AM18" s="71"/>
      <c r="AN18" s="71"/>
      <c r="AO18" s="71"/>
      <c r="AP18" s="71"/>
      <c r="AQ18" s="71"/>
      <c r="AR18" s="71"/>
      <c r="AS18" s="71"/>
    </row>
    <row r="19" spans="1:45" s="80" customFormat="1" ht="21" customHeight="1">
      <c r="A19" s="676" t="s">
        <v>112</v>
      </c>
      <c r="B19" s="676"/>
      <c r="C19" s="426">
        <f>SUM(C8:C18)</f>
        <v>216220</v>
      </c>
      <c r="D19" s="426">
        <f>K19+O19+Q19+S19+U19+W19+Y19+AE19</f>
        <v>9929</v>
      </c>
      <c r="E19" s="426">
        <f t="shared" si="1"/>
        <v>8640</v>
      </c>
      <c r="F19" s="426">
        <f>SUM(F8:F18)</f>
        <v>98235</v>
      </c>
      <c r="G19" s="426">
        <f>SUM(G8:G18)</f>
        <v>0</v>
      </c>
      <c r="H19" s="426">
        <f>SUM(H8:H18)</f>
        <v>670</v>
      </c>
      <c r="I19" s="426">
        <f>SUM(I8:I18)</f>
        <v>0</v>
      </c>
      <c r="J19" s="426">
        <f t="shared" ref="J19:AB19" si="6">SUM(J8:J18)</f>
        <v>40</v>
      </c>
      <c r="K19" s="426">
        <f t="shared" si="6"/>
        <v>0</v>
      </c>
      <c r="L19" s="426">
        <f>SUM(L8:L18)</f>
        <v>745</v>
      </c>
      <c r="M19" s="426">
        <f t="shared" si="6"/>
        <v>0</v>
      </c>
      <c r="N19" s="426">
        <f>SUM(N8:N18)</f>
        <v>30</v>
      </c>
      <c r="O19" s="426">
        <f>SUM(O8:O18)</f>
        <v>30</v>
      </c>
      <c r="P19" s="426">
        <f>SUM(P8:P18)</f>
        <v>1010</v>
      </c>
      <c r="Q19" s="426">
        <f t="shared" si="6"/>
        <v>325</v>
      </c>
      <c r="R19" s="426">
        <f t="shared" si="6"/>
        <v>340</v>
      </c>
      <c r="S19" s="426">
        <f t="shared" si="6"/>
        <v>340</v>
      </c>
      <c r="T19" s="427">
        <f t="shared" si="6"/>
        <v>101400</v>
      </c>
      <c r="U19" s="426">
        <f t="shared" si="6"/>
        <v>8640</v>
      </c>
      <c r="V19" s="426">
        <f t="shared" si="6"/>
        <v>4500</v>
      </c>
      <c r="W19" s="426">
        <f>SUM(W8:W18)</f>
        <v>380</v>
      </c>
      <c r="X19" s="426">
        <f t="shared" si="6"/>
        <v>5300</v>
      </c>
      <c r="Y19" s="426">
        <f t="shared" si="6"/>
        <v>0</v>
      </c>
      <c r="Z19" s="426">
        <f t="shared" si="6"/>
        <v>180</v>
      </c>
      <c r="AA19" s="426">
        <f t="shared" si="6"/>
        <v>0</v>
      </c>
      <c r="AB19" s="426">
        <f t="shared" si="6"/>
        <v>2350</v>
      </c>
      <c r="AC19" s="426"/>
      <c r="AD19" s="426">
        <f>SUM(AD8:AD18)</f>
        <v>1420</v>
      </c>
      <c r="AE19" s="426">
        <f>SUM(AE8:AE18)</f>
        <v>214</v>
      </c>
      <c r="AF19" s="78"/>
      <c r="AG19" s="77"/>
      <c r="AH19" s="77"/>
      <c r="AI19" s="79"/>
      <c r="AJ19" s="79"/>
      <c r="AK19" s="79"/>
      <c r="AL19" s="79"/>
      <c r="AM19" s="79"/>
      <c r="AN19" s="79"/>
      <c r="AO19" s="79"/>
      <c r="AP19" s="79"/>
      <c r="AQ19" s="79"/>
      <c r="AR19" s="79"/>
      <c r="AS19" s="79"/>
    </row>
    <row r="20" spans="1:45" s="72" customFormat="1" ht="21" customHeight="1">
      <c r="A20" s="308"/>
      <c r="B20" s="81"/>
      <c r="C20" s="82"/>
      <c r="D20" s="82"/>
      <c r="E20" s="83"/>
      <c r="F20" s="82"/>
      <c r="G20" s="82"/>
      <c r="H20" s="82"/>
      <c r="I20" s="82"/>
      <c r="J20" s="82"/>
      <c r="K20" s="82"/>
      <c r="L20" s="82"/>
      <c r="M20" s="82"/>
      <c r="N20" s="82"/>
      <c r="O20" s="82"/>
      <c r="P20" s="82"/>
      <c r="Q20" s="82"/>
      <c r="R20" s="82"/>
      <c r="S20" s="82"/>
      <c r="T20" s="82"/>
      <c r="U20" s="82"/>
      <c r="V20" s="82"/>
      <c r="W20" s="82"/>
      <c r="X20" s="82"/>
      <c r="Y20" s="82"/>
      <c r="Z20" s="82"/>
      <c r="AA20" s="82"/>
      <c r="AB20" s="82"/>
      <c r="AC20" s="82"/>
      <c r="AD20" s="82"/>
      <c r="AE20" s="82"/>
      <c r="AF20" s="71"/>
      <c r="AG20" s="71"/>
      <c r="AH20" s="71"/>
      <c r="AI20" s="71"/>
      <c r="AJ20" s="71"/>
      <c r="AK20" s="71"/>
      <c r="AL20" s="71"/>
      <c r="AM20" s="71"/>
      <c r="AN20" s="71"/>
      <c r="AO20" s="71"/>
      <c r="AP20" s="71"/>
      <c r="AQ20" s="71"/>
      <c r="AR20" s="71"/>
      <c r="AS20" s="71"/>
    </row>
    <row r="21" spans="1:45" s="72" customFormat="1" ht="21" customHeight="1">
      <c r="A21" s="308"/>
      <c r="B21" s="81"/>
      <c r="C21" s="82"/>
      <c r="D21" s="82"/>
      <c r="E21" s="83"/>
      <c r="F21" s="82"/>
      <c r="G21" s="82"/>
      <c r="H21" s="82"/>
      <c r="I21" s="82"/>
      <c r="J21" s="82"/>
      <c r="K21" s="82"/>
      <c r="L21" s="82"/>
      <c r="M21" s="82"/>
      <c r="N21" s="82"/>
      <c r="O21" s="82"/>
      <c r="P21" s="82"/>
      <c r="Q21" s="82"/>
      <c r="R21" s="82"/>
      <c r="S21" s="82"/>
      <c r="T21" s="82"/>
      <c r="U21" s="82"/>
      <c r="V21" s="82"/>
      <c r="W21" s="82"/>
      <c r="X21" s="82"/>
      <c r="Y21" s="82"/>
      <c r="Z21" s="82"/>
      <c r="AA21" s="82"/>
      <c r="AB21" s="82"/>
      <c r="AC21" s="82"/>
      <c r="AD21" s="82"/>
      <c r="AE21" s="82"/>
      <c r="AF21" s="71"/>
      <c r="AG21" s="71"/>
      <c r="AH21" s="71"/>
      <c r="AI21" s="71"/>
      <c r="AJ21" s="71"/>
      <c r="AK21" s="71"/>
      <c r="AL21" s="71"/>
      <c r="AM21" s="71"/>
      <c r="AN21" s="71"/>
      <c r="AO21" s="71"/>
      <c r="AP21" s="71"/>
      <c r="AQ21" s="71"/>
      <c r="AR21" s="71"/>
      <c r="AS21" s="71"/>
    </row>
    <row r="22" spans="1:45" s="72" customFormat="1" ht="21" customHeight="1">
      <c r="A22" s="308"/>
      <c r="B22" s="81"/>
      <c r="C22" s="82"/>
      <c r="D22" s="82"/>
      <c r="E22" s="83"/>
      <c r="F22" s="82"/>
      <c r="G22" s="82"/>
      <c r="H22" s="82"/>
      <c r="I22" s="82"/>
      <c r="J22" s="82"/>
      <c r="K22" s="82"/>
      <c r="L22" s="82"/>
      <c r="M22" s="82"/>
      <c r="N22" s="82"/>
      <c r="O22" s="82"/>
      <c r="P22" s="82"/>
      <c r="Q22" s="82"/>
      <c r="R22" s="82"/>
      <c r="S22" s="82"/>
      <c r="T22" s="82"/>
      <c r="U22" s="82"/>
      <c r="V22" s="82"/>
      <c r="W22" s="82"/>
      <c r="X22" s="82"/>
      <c r="Y22" s="82"/>
      <c r="Z22" s="82"/>
      <c r="AA22" s="82"/>
      <c r="AB22" s="82"/>
      <c r="AC22" s="82"/>
      <c r="AD22" s="82"/>
      <c r="AE22" s="82"/>
      <c r="AF22" s="71"/>
      <c r="AG22" s="71"/>
      <c r="AH22" s="71"/>
      <c r="AI22" s="71"/>
      <c r="AJ22" s="71"/>
      <c r="AK22" s="71"/>
      <c r="AL22" s="71"/>
      <c r="AM22" s="71"/>
      <c r="AN22" s="71"/>
      <c r="AO22" s="71"/>
      <c r="AP22" s="71"/>
      <c r="AQ22" s="71"/>
      <c r="AR22" s="71"/>
      <c r="AS22" s="71"/>
    </row>
    <row r="23" spans="1:45" s="72" customFormat="1" ht="21" customHeight="1">
      <c r="A23" s="308"/>
      <c r="B23" s="81"/>
      <c r="C23" s="82"/>
      <c r="D23" s="82"/>
      <c r="E23" s="83"/>
      <c r="F23" s="82"/>
      <c r="G23" s="82"/>
      <c r="H23" s="82"/>
      <c r="I23" s="82"/>
      <c r="J23" s="82"/>
      <c r="K23" s="82"/>
      <c r="L23" s="82"/>
      <c r="M23" s="82"/>
      <c r="N23" s="82"/>
      <c r="O23" s="82"/>
      <c r="P23" s="82"/>
      <c r="Q23" s="82"/>
      <c r="R23" s="82"/>
      <c r="S23" s="82"/>
      <c r="T23" s="82"/>
      <c r="U23" s="82"/>
      <c r="V23" s="82"/>
      <c r="W23" s="82"/>
      <c r="X23" s="82"/>
      <c r="Y23" s="82"/>
      <c r="Z23" s="82"/>
      <c r="AA23" s="82"/>
      <c r="AB23" s="82"/>
      <c r="AC23" s="82"/>
      <c r="AD23" s="82"/>
      <c r="AE23" s="82"/>
      <c r="AF23" s="71"/>
      <c r="AG23" s="71"/>
      <c r="AH23" s="71"/>
      <c r="AI23" s="71"/>
      <c r="AJ23" s="71"/>
      <c r="AK23" s="71"/>
      <c r="AL23" s="71"/>
      <c r="AM23" s="71"/>
      <c r="AN23" s="71"/>
      <c r="AO23" s="71"/>
      <c r="AP23" s="71"/>
      <c r="AQ23" s="71"/>
      <c r="AR23" s="71"/>
      <c r="AS23" s="71"/>
    </row>
  </sheetData>
  <mergeCells count="25">
    <mergeCell ref="A19:B19"/>
    <mergeCell ref="L6:M7"/>
    <mergeCell ref="N6:O7"/>
    <mergeCell ref="P6:Q7"/>
    <mergeCell ref="R6:S7"/>
    <mergeCell ref="E5:E7"/>
    <mergeCell ref="A5:A7"/>
    <mergeCell ref="B5:B7"/>
    <mergeCell ref="C5:C7"/>
    <mergeCell ref="D5:D7"/>
    <mergeCell ref="F5:AE5"/>
    <mergeCell ref="F6:G7"/>
    <mergeCell ref="H6:I7"/>
    <mergeCell ref="J6:K7"/>
    <mergeCell ref="X6:Y7"/>
    <mergeCell ref="Z6:AA7"/>
    <mergeCell ref="AB6:AC7"/>
    <mergeCell ref="AD6:AE7"/>
    <mergeCell ref="T6:U7"/>
    <mergeCell ref="V6:W7"/>
    <mergeCell ref="S1:AE1"/>
    <mergeCell ref="A2:AE2"/>
    <mergeCell ref="A3:AE3"/>
    <mergeCell ref="A1:E1"/>
    <mergeCell ref="A4:AE4"/>
  </mergeCells>
  <printOptions horizontalCentered="1"/>
  <pageMargins left="0.19685039370078741" right="0.19685039370078741" top="0.23622047244094491" bottom="0.23622047244094491" header="0.31496062992125984" footer="0.31496062992125984"/>
  <pageSetup paperSize="9" scale="72"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6"/>
  <sheetViews>
    <sheetView workbookViewId="0">
      <pane xSplit="3" ySplit="8" topLeftCell="J19" activePane="bottomRight" state="frozen"/>
      <selection pane="topRight" activeCell="D1" sqref="D1"/>
      <selection pane="bottomLeft" activeCell="A9" sqref="A9"/>
      <selection pane="bottomRight" activeCell="W27" sqref="W27"/>
    </sheetView>
  </sheetViews>
  <sheetFormatPr defaultColWidth="9.140625" defaultRowHeight="12.75"/>
  <cols>
    <col min="1" max="1" width="5.28515625" style="136" customWidth="1"/>
    <col min="2" max="2" width="29.5703125" style="372" customWidth="1"/>
    <col min="3" max="4" width="8.85546875" style="393" customWidth="1"/>
    <col min="5" max="5" width="8.85546875" style="393" hidden="1" customWidth="1"/>
    <col min="6" max="6" width="8.85546875" style="393" customWidth="1"/>
    <col min="7" max="8" width="8.85546875" style="393" hidden="1" customWidth="1"/>
    <col min="9" max="11" width="8.85546875" style="393" customWidth="1"/>
    <col min="12" max="12" width="8.85546875" style="393" hidden="1" customWidth="1"/>
    <col min="13" max="13" width="8.85546875" style="393" customWidth="1"/>
    <col min="14" max="15" width="8.85546875" style="393" hidden="1" customWidth="1"/>
    <col min="16" max="18" width="8.85546875" style="393" customWidth="1"/>
    <col min="19" max="19" width="8.85546875" style="393" hidden="1" customWidth="1"/>
    <col min="20" max="20" width="8.85546875" style="393" customWidth="1"/>
    <col min="21" max="22" width="8.85546875" style="393" hidden="1" customWidth="1"/>
    <col min="23" max="23" width="8.85546875" style="393" customWidth="1"/>
    <col min="24" max="16384" width="9.140625" style="372"/>
  </cols>
  <sheetData>
    <row r="1" spans="1:23" s="371" customFormat="1" ht="15.75">
      <c r="A1" s="542" t="s">
        <v>0</v>
      </c>
      <c r="B1" s="542"/>
      <c r="C1" s="370"/>
      <c r="D1" s="370"/>
      <c r="E1" s="370"/>
      <c r="F1" s="370"/>
      <c r="G1" s="370"/>
      <c r="H1" s="370"/>
      <c r="I1" s="370"/>
      <c r="J1" s="370"/>
      <c r="K1" s="370"/>
      <c r="L1" s="370"/>
      <c r="M1" s="370"/>
      <c r="N1" s="370"/>
      <c r="O1" s="370"/>
      <c r="P1" s="370"/>
      <c r="Q1" s="370"/>
      <c r="R1" s="541" t="s">
        <v>75</v>
      </c>
      <c r="S1" s="541"/>
      <c r="T1" s="541"/>
      <c r="U1" s="541"/>
      <c r="V1" s="541"/>
      <c r="W1" s="541"/>
    </row>
    <row r="2" spans="1:23" ht="16.5">
      <c r="A2" s="546" t="s">
        <v>76</v>
      </c>
      <c r="B2" s="546"/>
      <c r="C2" s="546"/>
      <c r="D2" s="546"/>
      <c r="E2" s="546"/>
      <c r="F2" s="546"/>
      <c r="G2" s="546"/>
      <c r="H2" s="546"/>
      <c r="I2" s="546"/>
      <c r="J2" s="546"/>
      <c r="K2" s="546"/>
      <c r="L2" s="546"/>
      <c r="M2" s="546"/>
      <c r="N2" s="546"/>
      <c r="O2" s="546"/>
      <c r="P2" s="546"/>
      <c r="Q2" s="546"/>
      <c r="R2" s="546"/>
      <c r="S2" s="546"/>
      <c r="T2" s="546"/>
      <c r="U2" s="546"/>
      <c r="V2" s="546"/>
      <c r="W2" s="546"/>
    </row>
    <row r="3" spans="1:23">
      <c r="A3" s="373"/>
      <c r="B3" s="374"/>
      <c r="C3" s="375"/>
      <c r="D3" s="375"/>
      <c r="E3" s="375"/>
      <c r="F3" s="375"/>
      <c r="G3" s="375"/>
      <c r="H3" s="375"/>
      <c r="I3" s="375"/>
      <c r="J3" s="375"/>
      <c r="K3" s="375"/>
      <c r="L3" s="375"/>
      <c r="M3" s="376"/>
      <c r="N3" s="375"/>
      <c r="O3" s="375"/>
      <c r="P3" s="375"/>
      <c r="Q3" s="375"/>
      <c r="R3" s="375"/>
      <c r="S3" s="375"/>
      <c r="T3" s="375"/>
      <c r="U3" s="375"/>
      <c r="V3" s="375"/>
      <c r="W3" s="377" t="s">
        <v>3</v>
      </c>
    </row>
    <row r="4" spans="1:23" ht="12.75" customHeight="1">
      <c r="A4" s="547" t="s">
        <v>4</v>
      </c>
      <c r="B4" s="548" t="s">
        <v>5</v>
      </c>
      <c r="C4" s="540" t="s">
        <v>77</v>
      </c>
      <c r="D4" s="540"/>
      <c r="E4" s="540"/>
      <c r="F4" s="540"/>
      <c r="G4" s="540"/>
      <c r="H4" s="540"/>
      <c r="I4" s="540"/>
      <c r="J4" s="540" t="s">
        <v>78</v>
      </c>
      <c r="K4" s="540"/>
      <c r="L4" s="540"/>
      <c r="M4" s="540"/>
      <c r="N4" s="540"/>
      <c r="O4" s="540"/>
      <c r="P4" s="540"/>
      <c r="Q4" s="540" t="s">
        <v>8</v>
      </c>
      <c r="R4" s="540"/>
      <c r="S4" s="540"/>
      <c r="T4" s="540"/>
      <c r="U4" s="540"/>
      <c r="V4" s="540"/>
      <c r="W4" s="540"/>
    </row>
    <row r="5" spans="1:23">
      <c r="A5" s="547"/>
      <c r="B5" s="548"/>
      <c r="C5" s="540" t="s">
        <v>79</v>
      </c>
      <c r="D5" s="540" t="s">
        <v>80</v>
      </c>
      <c r="E5" s="540"/>
      <c r="F5" s="540"/>
      <c r="G5" s="540"/>
      <c r="H5" s="540"/>
      <c r="I5" s="540"/>
      <c r="J5" s="540" t="s">
        <v>79</v>
      </c>
      <c r="K5" s="540" t="s">
        <v>80</v>
      </c>
      <c r="L5" s="540"/>
      <c r="M5" s="540"/>
      <c r="N5" s="540"/>
      <c r="O5" s="540"/>
      <c r="P5" s="540"/>
      <c r="Q5" s="540" t="s">
        <v>81</v>
      </c>
      <c r="R5" s="540" t="s">
        <v>80</v>
      </c>
      <c r="S5" s="540"/>
      <c r="T5" s="540"/>
      <c r="U5" s="540"/>
      <c r="V5" s="540"/>
      <c r="W5" s="540"/>
    </row>
    <row r="6" spans="1:23" ht="38.25">
      <c r="A6" s="547"/>
      <c r="B6" s="548"/>
      <c r="C6" s="540"/>
      <c r="D6" s="378" t="s">
        <v>82</v>
      </c>
      <c r="E6" s="378" t="s">
        <v>83</v>
      </c>
      <c r="F6" s="378" t="s">
        <v>84</v>
      </c>
      <c r="G6" s="378" t="s">
        <v>71</v>
      </c>
      <c r="H6" s="378" t="s">
        <v>85</v>
      </c>
      <c r="I6" s="378" t="s">
        <v>86</v>
      </c>
      <c r="J6" s="540"/>
      <c r="K6" s="378" t="s">
        <v>82</v>
      </c>
      <c r="L6" s="378" t="s">
        <v>83</v>
      </c>
      <c r="M6" s="378" t="s">
        <v>84</v>
      </c>
      <c r="N6" s="378" t="s">
        <v>71</v>
      </c>
      <c r="O6" s="378" t="s">
        <v>85</v>
      </c>
      <c r="P6" s="378" t="s">
        <v>86</v>
      </c>
      <c r="Q6" s="540"/>
      <c r="R6" s="378" t="s">
        <v>82</v>
      </c>
      <c r="S6" s="378" t="s">
        <v>83</v>
      </c>
      <c r="T6" s="378" t="s">
        <v>84</v>
      </c>
      <c r="U6" s="378" t="s">
        <v>71</v>
      </c>
      <c r="V6" s="378" t="s">
        <v>85</v>
      </c>
      <c r="W6" s="378" t="s">
        <v>86</v>
      </c>
    </row>
    <row r="7" spans="1:23">
      <c r="A7" s="379" t="s">
        <v>11</v>
      </c>
      <c r="B7" s="380" t="s">
        <v>12</v>
      </c>
      <c r="C7" s="379">
        <v>1</v>
      </c>
      <c r="D7" s="379">
        <v>2</v>
      </c>
      <c r="E7" s="379">
        <v>3</v>
      </c>
      <c r="F7" s="379">
        <v>4</v>
      </c>
      <c r="G7" s="379">
        <v>5</v>
      </c>
      <c r="H7" s="379">
        <v>6</v>
      </c>
      <c r="I7" s="379">
        <v>7</v>
      </c>
      <c r="J7" s="379">
        <v>8</v>
      </c>
      <c r="K7" s="379">
        <v>9</v>
      </c>
      <c r="L7" s="379">
        <v>10</v>
      </c>
      <c r="M7" s="379">
        <v>10</v>
      </c>
      <c r="N7" s="379">
        <v>12</v>
      </c>
      <c r="O7" s="379">
        <v>13</v>
      </c>
      <c r="P7" s="379">
        <v>11</v>
      </c>
      <c r="Q7" s="379">
        <v>12</v>
      </c>
      <c r="R7" s="379">
        <v>13</v>
      </c>
      <c r="S7" s="379">
        <v>17</v>
      </c>
      <c r="T7" s="379">
        <v>14</v>
      </c>
      <c r="U7" s="379">
        <v>19</v>
      </c>
      <c r="V7" s="379">
        <v>20</v>
      </c>
      <c r="W7" s="379">
        <v>15</v>
      </c>
    </row>
    <row r="8" spans="1:23">
      <c r="A8" s="381"/>
      <c r="B8" s="382" t="s">
        <v>13</v>
      </c>
      <c r="C8" s="383">
        <f>C9+C16+C19+C22+C28</f>
        <v>144370</v>
      </c>
      <c r="D8" s="383">
        <f t="shared" ref="D8:W8" si="0">D9+D16+D19+D22+D28</f>
        <v>8440</v>
      </c>
      <c r="E8" s="383">
        <f t="shared" si="0"/>
        <v>0</v>
      </c>
      <c r="F8" s="383">
        <f t="shared" si="0"/>
        <v>71500</v>
      </c>
      <c r="G8" s="383">
        <f t="shared" si="0"/>
        <v>0</v>
      </c>
      <c r="H8" s="383">
        <f t="shared" si="0"/>
        <v>0</v>
      </c>
      <c r="I8" s="383">
        <f t="shared" si="0"/>
        <v>64430</v>
      </c>
      <c r="J8" s="384">
        <f t="shared" si="0"/>
        <v>140275.48071399998</v>
      </c>
      <c r="K8" s="384">
        <f t="shared" si="0"/>
        <v>9090.0967140000012</v>
      </c>
      <c r="L8" s="384">
        <f t="shared" si="0"/>
        <v>0</v>
      </c>
      <c r="M8" s="384">
        <f t="shared" si="0"/>
        <v>84866.993999999992</v>
      </c>
      <c r="N8" s="384">
        <f t="shared" si="0"/>
        <v>0</v>
      </c>
      <c r="O8" s="384">
        <f t="shared" si="0"/>
        <v>0</v>
      </c>
      <c r="P8" s="384">
        <f t="shared" si="0"/>
        <v>46318.39</v>
      </c>
      <c r="Q8" s="383">
        <f t="shared" si="0"/>
        <v>216220</v>
      </c>
      <c r="R8" s="383">
        <f t="shared" si="0"/>
        <v>9050</v>
      </c>
      <c r="S8" s="383">
        <f t="shared" si="0"/>
        <v>0</v>
      </c>
      <c r="T8" s="383">
        <f t="shared" si="0"/>
        <v>90640</v>
      </c>
      <c r="U8" s="383">
        <f t="shared" si="0"/>
        <v>0</v>
      </c>
      <c r="V8" s="383">
        <f t="shared" si="0"/>
        <v>0</v>
      </c>
      <c r="W8" s="383">
        <f t="shared" si="0"/>
        <v>116530</v>
      </c>
    </row>
    <row r="9" spans="1:23">
      <c r="A9" s="385" t="s">
        <v>14</v>
      </c>
      <c r="B9" s="386" t="s">
        <v>87</v>
      </c>
      <c r="C9" s="383">
        <f>SUM(C10:C15)</f>
        <v>85440</v>
      </c>
      <c r="D9" s="383">
        <f t="shared" ref="D9:W9" si="1">SUM(D10:D15)</f>
        <v>8440</v>
      </c>
      <c r="E9" s="383">
        <f t="shared" si="1"/>
        <v>0</v>
      </c>
      <c r="F9" s="383">
        <f t="shared" si="1"/>
        <v>71500</v>
      </c>
      <c r="G9" s="383">
        <f t="shared" si="1"/>
        <v>0</v>
      </c>
      <c r="H9" s="383">
        <f t="shared" si="1"/>
        <v>0</v>
      </c>
      <c r="I9" s="383">
        <f t="shared" si="1"/>
        <v>5500</v>
      </c>
      <c r="J9" s="384">
        <f t="shared" si="1"/>
        <v>99457.090713999991</v>
      </c>
      <c r="K9" s="384">
        <f t="shared" si="1"/>
        <v>9090.0967140000012</v>
      </c>
      <c r="L9" s="384">
        <f t="shared" si="1"/>
        <v>0</v>
      </c>
      <c r="M9" s="384">
        <f t="shared" si="1"/>
        <v>84866.993999999992</v>
      </c>
      <c r="N9" s="384">
        <f t="shared" si="1"/>
        <v>0</v>
      </c>
      <c r="O9" s="384">
        <f t="shared" si="1"/>
        <v>0</v>
      </c>
      <c r="P9" s="384">
        <f t="shared" si="1"/>
        <v>5500</v>
      </c>
      <c r="Q9" s="383">
        <f t="shared" si="1"/>
        <v>104990</v>
      </c>
      <c r="R9" s="383">
        <f t="shared" si="1"/>
        <v>9050</v>
      </c>
      <c r="S9" s="383">
        <f t="shared" si="1"/>
        <v>0</v>
      </c>
      <c r="T9" s="383">
        <f t="shared" si="1"/>
        <v>90640</v>
      </c>
      <c r="U9" s="383">
        <f t="shared" si="1"/>
        <v>0</v>
      </c>
      <c r="V9" s="383">
        <f t="shared" si="1"/>
        <v>0</v>
      </c>
      <c r="W9" s="383">
        <f t="shared" si="1"/>
        <v>5300</v>
      </c>
    </row>
    <row r="10" spans="1:23" ht="25.5">
      <c r="A10" s="381">
        <v>1</v>
      </c>
      <c r="B10" s="387" t="s">
        <v>88</v>
      </c>
      <c r="C10" s="388">
        <f>SUM(D10:I10)</f>
        <v>78860</v>
      </c>
      <c r="D10" s="388">
        <f>8070+170</f>
        <v>8240</v>
      </c>
      <c r="E10" s="388">
        <f>0</f>
        <v>0</v>
      </c>
      <c r="F10" s="388">
        <f>70620</f>
        <v>70620</v>
      </c>
      <c r="G10" s="388"/>
      <c r="H10" s="388"/>
      <c r="I10" s="388"/>
      <c r="J10" s="389">
        <f>SUM(K10:P10)</f>
        <v>92462.235000000001</v>
      </c>
      <c r="K10" s="389">
        <f>8525+259.85</f>
        <v>8784.85</v>
      </c>
      <c r="L10" s="389">
        <f>0</f>
        <v>0</v>
      </c>
      <c r="M10" s="389">
        <f>83600+77.385</f>
        <v>83677.384999999995</v>
      </c>
      <c r="N10" s="389"/>
      <c r="O10" s="389"/>
      <c r="P10" s="389"/>
      <c r="Q10" s="388">
        <f>SUM(R10:W10)</f>
        <v>98235</v>
      </c>
      <c r="R10" s="388">
        <f>210+8525</f>
        <v>8735</v>
      </c>
      <c r="S10" s="388"/>
      <c r="T10" s="388">
        <f>30000+59500</f>
        <v>89500</v>
      </c>
      <c r="U10" s="388"/>
      <c r="V10" s="388"/>
      <c r="W10" s="388"/>
    </row>
    <row r="11" spans="1:23" ht="25.5">
      <c r="A11" s="381">
        <v>2</v>
      </c>
      <c r="B11" s="387" t="s">
        <v>89</v>
      </c>
      <c r="C11" s="388">
        <f t="shared" ref="C11:C18" si="2">SUM(D11:I11)</f>
        <v>40</v>
      </c>
      <c r="D11" s="388">
        <f>0</f>
        <v>0</v>
      </c>
      <c r="E11" s="388"/>
      <c r="F11" s="388">
        <f>40</f>
        <v>40</v>
      </c>
      <c r="G11" s="388"/>
      <c r="H11" s="388"/>
      <c r="I11" s="388"/>
      <c r="J11" s="389">
        <f t="shared" ref="J11:J31" si="3">SUM(K11:P11)</f>
        <v>40.237000000000002</v>
      </c>
      <c r="K11" s="389"/>
      <c r="L11" s="389"/>
      <c r="M11" s="389">
        <v>40.237000000000002</v>
      </c>
      <c r="N11" s="389"/>
      <c r="O11" s="389"/>
      <c r="P11" s="389"/>
      <c r="Q11" s="388">
        <f t="shared" ref="Q11:Q31" si="4">SUM(R11:W11)</f>
        <v>40</v>
      </c>
      <c r="R11" s="388"/>
      <c r="S11" s="388"/>
      <c r="T11" s="388">
        <v>40</v>
      </c>
      <c r="U11" s="388"/>
      <c r="V11" s="388"/>
      <c r="W11" s="388"/>
    </row>
    <row r="12" spans="1:23" ht="25.5">
      <c r="A12" s="381">
        <v>3</v>
      </c>
      <c r="B12" s="387" t="s">
        <v>90</v>
      </c>
      <c r="C12" s="388">
        <f t="shared" si="2"/>
        <v>0</v>
      </c>
      <c r="D12" s="388">
        <f>0</f>
        <v>0</v>
      </c>
      <c r="E12" s="388"/>
      <c r="F12" s="388">
        <f>0</f>
        <v>0</v>
      </c>
      <c r="G12" s="388"/>
      <c r="H12" s="388"/>
      <c r="I12" s="388"/>
      <c r="J12" s="389">
        <f t="shared" si="3"/>
        <v>0</v>
      </c>
      <c r="K12" s="389"/>
      <c r="L12" s="389"/>
      <c r="M12" s="389"/>
      <c r="N12" s="389"/>
      <c r="O12" s="389"/>
      <c r="P12" s="389"/>
      <c r="Q12" s="388">
        <f t="shared" si="4"/>
        <v>0</v>
      </c>
      <c r="R12" s="388"/>
      <c r="S12" s="388"/>
      <c r="T12" s="388"/>
      <c r="U12" s="388"/>
      <c r="V12" s="388"/>
      <c r="W12" s="388"/>
    </row>
    <row r="13" spans="1:23">
      <c r="A13" s="381">
        <v>4</v>
      </c>
      <c r="B13" s="387" t="s">
        <v>91</v>
      </c>
      <c r="C13" s="388">
        <f t="shared" si="2"/>
        <v>330</v>
      </c>
      <c r="D13" s="388">
        <f>0+130</f>
        <v>130</v>
      </c>
      <c r="E13" s="388"/>
      <c r="F13" s="388">
        <f>200</f>
        <v>200</v>
      </c>
      <c r="G13" s="388"/>
      <c r="H13" s="388"/>
      <c r="I13" s="388"/>
      <c r="J13" s="389">
        <f t="shared" si="3"/>
        <v>744.3</v>
      </c>
      <c r="K13" s="389">
        <f>250</f>
        <v>250</v>
      </c>
      <c r="L13" s="389"/>
      <c r="M13" s="389">
        <v>494.3</v>
      </c>
      <c r="N13" s="389"/>
      <c r="O13" s="389"/>
      <c r="P13" s="389"/>
      <c r="Q13" s="388">
        <f t="shared" si="4"/>
        <v>670</v>
      </c>
      <c r="R13" s="388">
        <f>30+220</f>
        <v>250</v>
      </c>
      <c r="S13" s="388"/>
      <c r="T13" s="388">
        <f>400+20</f>
        <v>420</v>
      </c>
      <c r="U13" s="388"/>
      <c r="V13" s="388"/>
      <c r="W13" s="388"/>
    </row>
    <row r="14" spans="1:23">
      <c r="A14" s="381">
        <v>5</v>
      </c>
      <c r="B14" s="387" t="s">
        <v>34</v>
      </c>
      <c r="C14" s="388">
        <f t="shared" si="2"/>
        <v>5500</v>
      </c>
      <c r="D14" s="388"/>
      <c r="E14" s="388"/>
      <c r="F14" s="388"/>
      <c r="G14" s="388"/>
      <c r="H14" s="388"/>
      <c r="I14" s="388">
        <v>5500</v>
      </c>
      <c r="J14" s="389">
        <f t="shared" si="3"/>
        <v>5500</v>
      </c>
      <c r="K14" s="389"/>
      <c r="L14" s="389"/>
      <c r="M14" s="389"/>
      <c r="N14" s="389"/>
      <c r="O14" s="389"/>
      <c r="P14" s="389">
        <v>5500</v>
      </c>
      <c r="Q14" s="388">
        <f t="shared" si="4"/>
        <v>5300</v>
      </c>
      <c r="R14" s="388"/>
      <c r="S14" s="388"/>
      <c r="T14" s="388"/>
      <c r="U14" s="388"/>
      <c r="V14" s="388"/>
      <c r="W14" s="388">
        <f>1300+4000</f>
        <v>5300</v>
      </c>
    </row>
    <row r="15" spans="1:23">
      <c r="A15" s="381">
        <v>6</v>
      </c>
      <c r="B15" s="387" t="s">
        <v>92</v>
      </c>
      <c r="C15" s="388">
        <f t="shared" si="2"/>
        <v>710</v>
      </c>
      <c r="D15" s="388">
        <f>20+50</f>
        <v>70</v>
      </c>
      <c r="E15" s="388"/>
      <c r="F15" s="388">
        <f>640</f>
        <v>640</v>
      </c>
      <c r="G15" s="388"/>
      <c r="H15" s="388"/>
      <c r="I15" s="388"/>
      <c r="J15" s="389">
        <f t="shared" si="3"/>
        <v>710.318714</v>
      </c>
      <c r="K15" s="389">
        <f>15.009324+40.23739</f>
        <v>55.246713999999997</v>
      </c>
      <c r="L15" s="389"/>
      <c r="M15" s="389">
        <v>655.072</v>
      </c>
      <c r="N15" s="389"/>
      <c r="O15" s="389"/>
      <c r="P15" s="389"/>
      <c r="Q15" s="388">
        <f t="shared" si="4"/>
        <v>745</v>
      </c>
      <c r="R15" s="388">
        <f>30+15+20</f>
        <v>65</v>
      </c>
      <c r="S15" s="388"/>
      <c r="T15" s="388">
        <f>560+120</f>
        <v>680</v>
      </c>
      <c r="U15" s="388"/>
      <c r="V15" s="388"/>
      <c r="W15" s="388"/>
    </row>
    <row r="16" spans="1:23">
      <c r="A16" s="385" t="s">
        <v>70</v>
      </c>
      <c r="B16" s="386" t="s">
        <v>93</v>
      </c>
      <c r="C16" s="383">
        <f>C17+C18</f>
        <v>5750</v>
      </c>
      <c r="D16" s="383">
        <f t="shared" ref="D16:W16" si="5">D17+D18</f>
        <v>0</v>
      </c>
      <c r="E16" s="383">
        <f t="shared" si="5"/>
        <v>0</v>
      </c>
      <c r="F16" s="383">
        <f t="shared" si="5"/>
        <v>0</v>
      </c>
      <c r="G16" s="383">
        <f t="shared" si="5"/>
        <v>0</v>
      </c>
      <c r="H16" s="383">
        <f t="shared" si="5"/>
        <v>0</v>
      </c>
      <c r="I16" s="383">
        <f t="shared" si="5"/>
        <v>5750</v>
      </c>
      <c r="J16" s="384">
        <f t="shared" si="5"/>
        <v>5750</v>
      </c>
      <c r="K16" s="384">
        <f t="shared" si="5"/>
        <v>0</v>
      </c>
      <c r="L16" s="384">
        <f t="shared" si="5"/>
        <v>0</v>
      </c>
      <c r="M16" s="384">
        <f t="shared" si="5"/>
        <v>0</v>
      </c>
      <c r="N16" s="384">
        <f t="shared" si="5"/>
        <v>0</v>
      </c>
      <c r="O16" s="384">
        <f t="shared" si="5"/>
        <v>0</v>
      </c>
      <c r="P16" s="384">
        <f t="shared" si="5"/>
        <v>5750</v>
      </c>
      <c r="Q16" s="383">
        <f t="shared" si="5"/>
        <v>5850</v>
      </c>
      <c r="R16" s="383">
        <f t="shared" si="5"/>
        <v>0</v>
      </c>
      <c r="S16" s="383">
        <f t="shared" si="5"/>
        <v>0</v>
      </c>
      <c r="T16" s="383">
        <f t="shared" si="5"/>
        <v>0</v>
      </c>
      <c r="U16" s="383">
        <f t="shared" si="5"/>
        <v>0</v>
      </c>
      <c r="V16" s="383">
        <f t="shared" si="5"/>
        <v>0</v>
      </c>
      <c r="W16" s="383">
        <f t="shared" si="5"/>
        <v>5850</v>
      </c>
    </row>
    <row r="17" spans="1:23">
      <c r="A17" s="381">
        <v>1</v>
      </c>
      <c r="B17" s="387" t="s">
        <v>38</v>
      </c>
      <c r="C17" s="388">
        <f t="shared" si="2"/>
        <v>4500</v>
      </c>
      <c r="D17" s="388"/>
      <c r="E17" s="388"/>
      <c r="F17" s="388"/>
      <c r="G17" s="388"/>
      <c r="H17" s="388"/>
      <c r="I17" s="388">
        <v>4500</v>
      </c>
      <c r="J17" s="389">
        <f t="shared" si="3"/>
        <v>4500</v>
      </c>
      <c r="K17" s="389"/>
      <c r="L17" s="389"/>
      <c r="M17" s="389"/>
      <c r="N17" s="389"/>
      <c r="O17" s="389"/>
      <c r="P17" s="389">
        <v>4500</v>
      </c>
      <c r="Q17" s="388">
        <f t="shared" si="4"/>
        <v>4500</v>
      </c>
      <c r="R17" s="388"/>
      <c r="S17" s="388"/>
      <c r="T17" s="388"/>
      <c r="U17" s="388"/>
      <c r="V17" s="388"/>
      <c r="W17" s="388">
        <v>4500</v>
      </c>
    </row>
    <row r="18" spans="1:23">
      <c r="A18" s="381">
        <v>2</v>
      </c>
      <c r="B18" s="387" t="s">
        <v>39</v>
      </c>
      <c r="C18" s="388">
        <f t="shared" si="2"/>
        <v>1250</v>
      </c>
      <c r="D18" s="388"/>
      <c r="E18" s="388"/>
      <c r="F18" s="388"/>
      <c r="G18" s="388"/>
      <c r="H18" s="388"/>
      <c r="I18" s="388">
        <v>1250</v>
      </c>
      <c r="J18" s="389">
        <f t="shared" si="3"/>
        <v>1250</v>
      </c>
      <c r="K18" s="389"/>
      <c r="L18" s="389"/>
      <c r="M18" s="389"/>
      <c r="N18" s="389"/>
      <c r="O18" s="389"/>
      <c r="P18" s="389">
        <v>1250</v>
      </c>
      <c r="Q18" s="388">
        <f t="shared" si="4"/>
        <v>1350</v>
      </c>
      <c r="R18" s="388"/>
      <c r="S18" s="388"/>
      <c r="T18" s="388"/>
      <c r="U18" s="388"/>
      <c r="V18" s="388"/>
      <c r="W18" s="388">
        <f>50+1300</f>
        <v>1350</v>
      </c>
    </row>
    <row r="19" spans="1:23" ht="38.25">
      <c r="A19" s="385" t="s">
        <v>94</v>
      </c>
      <c r="B19" s="386" t="s">
        <v>95</v>
      </c>
      <c r="C19" s="383">
        <f>C20+C21</f>
        <v>0</v>
      </c>
      <c r="D19" s="383">
        <f t="shared" ref="D19:W19" si="6">D20+D21</f>
        <v>0</v>
      </c>
      <c r="E19" s="383">
        <f t="shared" si="6"/>
        <v>0</v>
      </c>
      <c r="F19" s="383">
        <f t="shared" si="6"/>
        <v>0</v>
      </c>
      <c r="G19" s="383">
        <f t="shared" si="6"/>
        <v>0</v>
      </c>
      <c r="H19" s="383">
        <f t="shared" si="6"/>
        <v>0</v>
      </c>
      <c r="I19" s="383">
        <f t="shared" si="6"/>
        <v>0</v>
      </c>
      <c r="J19" s="384">
        <f t="shared" si="6"/>
        <v>0</v>
      </c>
      <c r="K19" s="384">
        <f t="shared" si="6"/>
        <v>0</v>
      </c>
      <c r="L19" s="384">
        <f t="shared" si="6"/>
        <v>0</v>
      </c>
      <c r="M19" s="384">
        <f t="shared" si="6"/>
        <v>0</v>
      </c>
      <c r="N19" s="384">
        <f t="shared" si="6"/>
        <v>0</v>
      </c>
      <c r="O19" s="384">
        <f t="shared" si="6"/>
        <v>0</v>
      </c>
      <c r="P19" s="384">
        <f t="shared" si="6"/>
        <v>0</v>
      </c>
      <c r="Q19" s="383">
        <f t="shared" si="6"/>
        <v>0</v>
      </c>
      <c r="R19" s="383">
        <f t="shared" si="6"/>
        <v>0</v>
      </c>
      <c r="S19" s="383">
        <f t="shared" si="6"/>
        <v>0</v>
      </c>
      <c r="T19" s="383">
        <f t="shared" si="6"/>
        <v>0</v>
      </c>
      <c r="U19" s="383">
        <f t="shared" si="6"/>
        <v>0</v>
      </c>
      <c r="V19" s="383">
        <f t="shared" si="6"/>
        <v>0</v>
      </c>
      <c r="W19" s="383">
        <f t="shared" si="6"/>
        <v>0</v>
      </c>
    </row>
    <row r="20" spans="1:23" ht="25.5">
      <c r="A20" s="381">
        <v>1</v>
      </c>
      <c r="B20" s="387" t="s">
        <v>96</v>
      </c>
      <c r="C20" s="388">
        <f>SUM(D20:I20)</f>
        <v>0</v>
      </c>
      <c r="D20" s="388"/>
      <c r="E20" s="388"/>
      <c r="F20" s="388"/>
      <c r="G20" s="388"/>
      <c r="H20" s="388"/>
      <c r="I20" s="388"/>
      <c r="J20" s="389">
        <f t="shared" si="3"/>
        <v>0</v>
      </c>
      <c r="K20" s="389"/>
      <c r="L20" s="389"/>
      <c r="M20" s="389"/>
      <c r="N20" s="389"/>
      <c r="O20" s="389"/>
      <c r="P20" s="389">
        <v>0</v>
      </c>
      <c r="Q20" s="388">
        <f t="shared" si="4"/>
        <v>0</v>
      </c>
      <c r="R20" s="388"/>
      <c r="S20" s="388"/>
      <c r="T20" s="388"/>
      <c r="U20" s="388"/>
      <c r="V20" s="388"/>
      <c r="W20" s="388"/>
    </row>
    <row r="21" spans="1:23">
      <c r="A21" s="381">
        <v>2</v>
      </c>
      <c r="B21" s="387" t="s">
        <v>97</v>
      </c>
      <c r="C21" s="388">
        <f>SUM(D21:I21)</f>
        <v>0</v>
      </c>
      <c r="D21" s="388"/>
      <c r="E21" s="388"/>
      <c r="F21" s="388"/>
      <c r="G21" s="388"/>
      <c r="H21" s="388"/>
      <c r="I21" s="388"/>
      <c r="J21" s="389">
        <f t="shared" si="3"/>
        <v>0</v>
      </c>
      <c r="K21" s="389"/>
      <c r="L21" s="389"/>
      <c r="M21" s="389"/>
      <c r="N21" s="389"/>
      <c r="O21" s="389"/>
      <c r="P21" s="389">
        <v>0</v>
      </c>
      <c r="Q21" s="388">
        <f t="shared" si="4"/>
        <v>0</v>
      </c>
      <c r="R21" s="388"/>
      <c r="S21" s="388"/>
      <c r="T21" s="388"/>
      <c r="U21" s="388"/>
      <c r="V21" s="388"/>
      <c r="W21" s="388"/>
    </row>
    <row r="22" spans="1:23">
      <c r="A22" s="385" t="s">
        <v>98</v>
      </c>
      <c r="B22" s="386" t="s">
        <v>99</v>
      </c>
      <c r="C22" s="383">
        <f>C23+C24+C25+C26+C27</f>
        <v>51750</v>
      </c>
      <c r="D22" s="383">
        <f t="shared" ref="D22:W22" si="7">D23+D24+D25+D26+D27</f>
        <v>0</v>
      </c>
      <c r="E22" s="383">
        <f t="shared" si="7"/>
        <v>0</v>
      </c>
      <c r="F22" s="383">
        <f t="shared" si="7"/>
        <v>0</v>
      </c>
      <c r="G22" s="383">
        <f t="shared" si="7"/>
        <v>0</v>
      </c>
      <c r="H22" s="383">
        <f t="shared" si="7"/>
        <v>0</v>
      </c>
      <c r="I22" s="383">
        <f t="shared" si="7"/>
        <v>51750</v>
      </c>
      <c r="J22" s="384">
        <f t="shared" si="7"/>
        <v>33471.620000000003</v>
      </c>
      <c r="K22" s="384">
        <f t="shared" si="7"/>
        <v>0</v>
      </c>
      <c r="L22" s="384">
        <f t="shared" si="7"/>
        <v>0</v>
      </c>
      <c r="M22" s="384">
        <f t="shared" si="7"/>
        <v>0</v>
      </c>
      <c r="N22" s="384">
        <f t="shared" si="7"/>
        <v>0</v>
      </c>
      <c r="O22" s="384">
        <f t="shared" si="7"/>
        <v>0</v>
      </c>
      <c r="P22" s="384">
        <f t="shared" si="7"/>
        <v>33471.620000000003</v>
      </c>
      <c r="Q22" s="383">
        <f t="shared" si="7"/>
        <v>103780</v>
      </c>
      <c r="R22" s="383">
        <f t="shared" si="7"/>
        <v>0</v>
      </c>
      <c r="S22" s="383">
        <f t="shared" si="7"/>
        <v>0</v>
      </c>
      <c r="T22" s="383">
        <f t="shared" si="7"/>
        <v>0</v>
      </c>
      <c r="U22" s="383">
        <f t="shared" si="7"/>
        <v>0</v>
      </c>
      <c r="V22" s="383">
        <f t="shared" si="7"/>
        <v>0</v>
      </c>
      <c r="W22" s="383">
        <f t="shared" si="7"/>
        <v>103780</v>
      </c>
    </row>
    <row r="23" spans="1:23">
      <c r="A23" s="381">
        <v>1</v>
      </c>
      <c r="B23" s="387" t="s">
        <v>100</v>
      </c>
      <c r="C23" s="388">
        <f>SUM(D23:I23)</f>
        <v>30</v>
      </c>
      <c r="D23" s="388"/>
      <c r="E23" s="388"/>
      <c r="F23" s="388"/>
      <c r="G23" s="388"/>
      <c r="H23" s="388"/>
      <c r="I23" s="388">
        <v>30</v>
      </c>
      <c r="J23" s="389">
        <f t="shared" si="3"/>
        <v>19.239999999999998</v>
      </c>
      <c r="K23" s="389"/>
      <c r="L23" s="389"/>
      <c r="M23" s="389"/>
      <c r="N23" s="389"/>
      <c r="O23" s="389"/>
      <c r="P23" s="389">
        <v>19.239999999999998</v>
      </c>
      <c r="Q23" s="388">
        <f t="shared" si="4"/>
        <v>30</v>
      </c>
      <c r="R23" s="388"/>
      <c r="S23" s="388"/>
      <c r="T23" s="388"/>
      <c r="U23" s="388"/>
      <c r="V23" s="388"/>
      <c r="W23" s="388">
        <v>30</v>
      </c>
    </row>
    <row r="24" spans="1:23">
      <c r="A24" s="381">
        <v>2</v>
      </c>
      <c r="B24" s="387" t="s">
        <v>101</v>
      </c>
      <c r="C24" s="388">
        <f t="shared" ref="C24:C31" si="8">SUM(D24:I24)</f>
        <v>0</v>
      </c>
      <c r="D24" s="388">
        <v>0</v>
      </c>
      <c r="E24" s="388"/>
      <c r="F24" s="388"/>
      <c r="G24" s="388"/>
      <c r="H24" s="388"/>
      <c r="I24" s="388"/>
      <c r="J24" s="389">
        <f t="shared" si="3"/>
        <v>0</v>
      </c>
      <c r="K24" s="389"/>
      <c r="L24" s="389"/>
      <c r="M24" s="389"/>
      <c r="N24" s="389"/>
      <c r="O24" s="389"/>
      <c r="P24" s="389">
        <v>0</v>
      </c>
      <c r="Q24" s="388">
        <f t="shared" si="4"/>
        <v>0</v>
      </c>
      <c r="R24" s="388"/>
      <c r="S24" s="388"/>
      <c r="T24" s="388"/>
      <c r="U24" s="388"/>
      <c r="V24" s="388"/>
      <c r="W24" s="388"/>
    </row>
    <row r="25" spans="1:23" ht="25.5">
      <c r="A25" s="381">
        <v>3</v>
      </c>
      <c r="B25" s="387" t="s">
        <v>102</v>
      </c>
      <c r="C25" s="388">
        <f t="shared" si="8"/>
        <v>1720</v>
      </c>
      <c r="D25" s="388"/>
      <c r="E25" s="388"/>
      <c r="F25" s="388"/>
      <c r="G25" s="388"/>
      <c r="H25" s="388"/>
      <c r="I25" s="388">
        <v>1720</v>
      </c>
      <c r="J25" s="389">
        <f t="shared" si="3"/>
        <v>1760</v>
      </c>
      <c r="K25" s="389"/>
      <c r="L25" s="389"/>
      <c r="M25" s="389"/>
      <c r="N25" s="389"/>
      <c r="O25" s="389"/>
      <c r="P25" s="389">
        <v>1760</v>
      </c>
      <c r="Q25" s="388">
        <f t="shared" si="4"/>
        <v>2350</v>
      </c>
      <c r="R25" s="388"/>
      <c r="S25" s="388"/>
      <c r="T25" s="388"/>
      <c r="U25" s="388"/>
      <c r="V25" s="388"/>
      <c r="W25" s="388">
        <f>250+2100</f>
        <v>2350</v>
      </c>
    </row>
    <row r="26" spans="1:23">
      <c r="A26" s="381">
        <v>4</v>
      </c>
      <c r="B26" s="387" t="s">
        <v>103</v>
      </c>
      <c r="C26" s="388">
        <f t="shared" si="8"/>
        <v>50000</v>
      </c>
      <c r="D26" s="388"/>
      <c r="E26" s="388"/>
      <c r="F26" s="388"/>
      <c r="G26" s="388"/>
      <c r="H26" s="388"/>
      <c r="I26" s="388">
        <v>50000</v>
      </c>
      <c r="J26" s="389">
        <f t="shared" si="3"/>
        <v>31692.38</v>
      </c>
      <c r="K26" s="389"/>
      <c r="L26" s="389"/>
      <c r="M26" s="389"/>
      <c r="N26" s="389"/>
      <c r="O26" s="389"/>
      <c r="P26" s="389">
        <v>31692.38</v>
      </c>
      <c r="Q26" s="388">
        <f t="shared" si="4"/>
        <v>101400</v>
      </c>
      <c r="R26" s="388"/>
      <c r="S26" s="388"/>
      <c r="T26" s="388"/>
      <c r="U26" s="388"/>
      <c r="V26" s="388"/>
      <c r="W26" s="388">
        <v>101400</v>
      </c>
    </row>
    <row r="27" spans="1:23" ht="25.5">
      <c r="A27" s="381">
        <v>5</v>
      </c>
      <c r="B27" s="387" t="s">
        <v>104</v>
      </c>
      <c r="C27" s="388">
        <f t="shared" si="8"/>
        <v>0</v>
      </c>
      <c r="D27" s="388"/>
      <c r="E27" s="388"/>
      <c r="F27" s="388"/>
      <c r="G27" s="388"/>
      <c r="H27" s="388"/>
      <c r="I27" s="388"/>
      <c r="J27" s="389">
        <f t="shared" si="3"/>
        <v>0</v>
      </c>
      <c r="K27" s="389"/>
      <c r="L27" s="389"/>
      <c r="M27" s="389"/>
      <c r="N27" s="389"/>
      <c r="O27" s="389"/>
      <c r="P27" s="389"/>
      <c r="Q27" s="388">
        <f t="shared" si="4"/>
        <v>0</v>
      </c>
      <c r="R27" s="388"/>
      <c r="S27" s="388"/>
      <c r="T27" s="388"/>
      <c r="U27" s="388"/>
      <c r="V27" s="388"/>
      <c r="W27" s="388"/>
    </row>
    <row r="28" spans="1:23">
      <c r="A28" s="385" t="s">
        <v>105</v>
      </c>
      <c r="B28" s="386" t="s">
        <v>106</v>
      </c>
      <c r="C28" s="383">
        <f>C29+C30+C31</f>
        <v>1430</v>
      </c>
      <c r="D28" s="383">
        <f t="shared" ref="D28:W28" si="9">D29+D30+D31</f>
        <v>0</v>
      </c>
      <c r="E28" s="383">
        <f t="shared" si="9"/>
        <v>0</v>
      </c>
      <c r="F28" s="383">
        <f t="shared" si="9"/>
        <v>0</v>
      </c>
      <c r="G28" s="383">
        <f t="shared" si="9"/>
        <v>0</v>
      </c>
      <c r="H28" s="383">
        <f t="shared" si="9"/>
        <v>0</v>
      </c>
      <c r="I28" s="383">
        <f t="shared" si="9"/>
        <v>1430</v>
      </c>
      <c r="J28" s="384">
        <f t="shared" si="9"/>
        <v>1596.77</v>
      </c>
      <c r="K28" s="384">
        <f t="shared" si="9"/>
        <v>0</v>
      </c>
      <c r="L28" s="384">
        <f t="shared" si="9"/>
        <v>0</v>
      </c>
      <c r="M28" s="384">
        <f t="shared" si="9"/>
        <v>0</v>
      </c>
      <c r="N28" s="384">
        <f t="shared" si="9"/>
        <v>0</v>
      </c>
      <c r="O28" s="384">
        <f t="shared" si="9"/>
        <v>0</v>
      </c>
      <c r="P28" s="384">
        <f t="shared" si="9"/>
        <v>1596.77</v>
      </c>
      <c r="Q28" s="383">
        <f t="shared" si="9"/>
        <v>1600</v>
      </c>
      <c r="R28" s="383">
        <f t="shared" si="9"/>
        <v>0</v>
      </c>
      <c r="S28" s="383">
        <f t="shared" si="9"/>
        <v>0</v>
      </c>
      <c r="T28" s="383">
        <f t="shared" si="9"/>
        <v>0</v>
      </c>
      <c r="U28" s="383">
        <f t="shared" si="9"/>
        <v>0</v>
      </c>
      <c r="V28" s="383">
        <f t="shared" si="9"/>
        <v>0</v>
      </c>
      <c r="W28" s="383">
        <f t="shared" si="9"/>
        <v>1600</v>
      </c>
    </row>
    <row r="29" spans="1:23" ht="13.5" customHeight="1">
      <c r="A29" s="381">
        <v>1</v>
      </c>
      <c r="B29" s="387" t="s">
        <v>107</v>
      </c>
      <c r="C29" s="388">
        <f t="shared" si="8"/>
        <v>50</v>
      </c>
      <c r="D29" s="388"/>
      <c r="E29" s="388"/>
      <c r="F29" s="388"/>
      <c r="G29" s="388"/>
      <c r="H29" s="388"/>
      <c r="I29" s="388">
        <v>50</v>
      </c>
      <c r="J29" s="389">
        <f t="shared" si="3"/>
        <v>172.61</v>
      </c>
      <c r="K29" s="389"/>
      <c r="L29" s="389"/>
      <c r="M29" s="389"/>
      <c r="N29" s="389"/>
      <c r="O29" s="389"/>
      <c r="P29" s="389">
        <v>172.61</v>
      </c>
      <c r="Q29" s="388">
        <f t="shared" si="4"/>
        <v>180</v>
      </c>
      <c r="R29" s="388"/>
      <c r="S29" s="388"/>
      <c r="T29" s="388"/>
      <c r="U29" s="388"/>
      <c r="V29" s="388"/>
      <c r="W29" s="388">
        <f>130+50</f>
        <v>180</v>
      </c>
    </row>
    <row r="30" spans="1:23">
      <c r="A30" s="381">
        <v>2</v>
      </c>
      <c r="B30" s="387" t="s">
        <v>108</v>
      </c>
      <c r="C30" s="388">
        <f t="shared" si="8"/>
        <v>0</v>
      </c>
      <c r="D30" s="388"/>
      <c r="E30" s="388"/>
      <c r="F30" s="388"/>
      <c r="G30" s="388"/>
      <c r="H30" s="388"/>
      <c r="I30" s="388"/>
      <c r="J30" s="389">
        <f t="shared" si="3"/>
        <v>0</v>
      </c>
      <c r="K30" s="389"/>
      <c r="L30" s="389"/>
      <c r="M30" s="389"/>
      <c r="N30" s="389"/>
      <c r="O30" s="389"/>
      <c r="P30" s="389"/>
      <c r="Q30" s="388">
        <f t="shared" si="4"/>
        <v>0</v>
      </c>
      <c r="R30" s="388"/>
      <c r="S30" s="388"/>
      <c r="T30" s="388"/>
      <c r="U30" s="388"/>
      <c r="V30" s="388"/>
      <c r="W30" s="388"/>
    </row>
    <row r="31" spans="1:23">
      <c r="A31" s="381">
        <v>3</v>
      </c>
      <c r="B31" s="387" t="s">
        <v>109</v>
      </c>
      <c r="C31" s="388">
        <f t="shared" si="8"/>
        <v>1380</v>
      </c>
      <c r="D31" s="388"/>
      <c r="E31" s="388"/>
      <c r="F31" s="388"/>
      <c r="G31" s="388"/>
      <c r="H31" s="388"/>
      <c r="I31" s="388">
        <v>1380</v>
      </c>
      <c r="J31" s="389">
        <f t="shared" si="3"/>
        <v>1424.16</v>
      </c>
      <c r="K31" s="389"/>
      <c r="L31" s="389"/>
      <c r="M31" s="389"/>
      <c r="N31" s="389"/>
      <c r="O31" s="389"/>
      <c r="P31" s="389">
        <v>1424.16</v>
      </c>
      <c r="Q31" s="388">
        <f t="shared" si="4"/>
        <v>1420</v>
      </c>
      <c r="R31" s="388"/>
      <c r="S31" s="388"/>
      <c r="T31" s="388"/>
      <c r="U31" s="388"/>
      <c r="V31" s="388"/>
      <c r="W31" s="388">
        <f>120+1300</f>
        <v>1420</v>
      </c>
    </row>
    <row r="32" spans="1:23">
      <c r="A32" s="390"/>
      <c r="B32" s="391"/>
      <c r="C32" s="392"/>
      <c r="D32" s="392"/>
      <c r="E32" s="392"/>
      <c r="F32" s="392"/>
      <c r="G32" s="392"/>
      <c r="H32" s="392"/>
      <c r="I32" s="392"/>
      <c r="J32" s="392"/>
      <c r="K32" s="392"/>
      <c r="L32" s="392"/>
      <c r="M32" s="392"/>
      <c r="N32" s="392"/>
      <c r="O32" s="392"/>
      <c r="P32" s="392"/>
      <c r="Q32" s="392"/>
      <c r="R32" s="392"/>
      <c r="S32" s="392"/>
      <c r="T32" s="392"/>
      <c r="U32" s="392"/>
      <c r="V32" s="392"/>
      <c r="W32" s="392"/>
    </row>
    <row r="33" spans="1:22">
      <c r="A33" s="373"/>
    </row>
    <row r="34" spans="1:22">
      <c r="A34" s="543"/>
      <c r="J34" s="394"/>
      <c r="S34" s="544"/>
      <c r="T34" s="544"/>
      <c r="U34" s="544"/>
      <c r="V34" s="544"/>
    </row>
    <row r="35" spans="1:22" ht="15" customHeight="1">
      <c r="A35" s="543"/>
      <c r="J35" s="395"/>
      <c r="S35" s="545"/>
      <c r="T35" s="545"/>
      <c r="U35" s="545"/>
      <c r="V35" s="545"/>
    </row>
    <row r="36" spans="1:22" ht="15" customHeight="1">
      <c r="A36" s="543"/>
      <c r="S36" s="544"/>
      <c r="T36" s="544"/>
      <c r="U36" s="544"/>
      <c r="V36" s="544"/>
    </row>
  </sheetData>
  <mergeCells count="18">
    <mergeCell ref="K5:P5"/>
    <mergeCell ref="Q5:Q6"/>
    <mergeCell ref="R5:W5"/>
    <mergeCell ref="R1:W1"/>
    <mergeCell ref="A1:B1"/>
    <mergeCell ref="A34:A36"/>
    <mergeCell ref="S34:V34"/>
    <mergeCell ref="S35:V35"/>
    <mergeCell ref="S36:V36"/>
    <mergeCell ref="A2:W2"/>
    <mergeCell ref="A4:A6"/>
    <mergeCell ref="B4:B6"/>
    <mergeCell ref="C4:I4"/>
    <mergeCell ref="J4:P4"/>
    <mergeCell ref="Q4:W4"/>
    <mergeCell ref="C5:C6"/>
    <mergeCell ref="D5:I5"/>
    <mergeCell ref="J5:J6"/>
  </mergeCells>
  <printOptions horizontalCentered="1"/>
  <pageMargins left="0.31496062992125984" right="0.27559055118110237" top="0.31496062992125984" bottom="0.31496062992125984" header="0.31496062992125984" footer="0.31496062992125984"/>
  <pageSetup paperSize="9" scale="95"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workbookViewId="0">
      <pane xSplit="3" ySplit="9" topLeftCell="D10" activePane="bottomRight" state="frozen"/>
      <selection pane="topRight" activeCell="D1" sqref="D1"/>
      <selection pane="bottomLeft" activeCell="A12" sqref="A12"/>
      <selection pane="bottomRight" activeCell="H11" sqref="H11"/>
    </sheetView>
  </sheetViews>
  <sheetFormatPr defaultColWidth="9.140625" defaultRowHeight="15"/>
  <cols>
    <col min="1" max="1" width="6.42578125" style="90" customWidth="1"/>
    <col min="2" max="2" width="44.42578125" style="87" customWidth="1"/>
    <col min="3" max="3" width="13" style="88" customWidth="1"/>
    <col min="4" max="4" width="12" style="88" customWidth="1"/>
    <col min="5" max="5" width="11.5703125" style="89" customWidth="1"/>
    <col min="6" max="7" width="11.5703125" style="87" customWidth="1"/>
    <col min="8" max="8" width="12.42578125" style="87" customWidth="1"/>
    <col min="9" max="9" width="13.140625" style="87" customWidth="1"/>
    <col min="10" max="16384" width="9.140625" style="87"/>
  </cols>
  <sheetData>
    <row r="1" spans="1:8" s="85" customFormat="1" ht="15.75">
      <c r="A1" s="542" t="s">
        <v>0</v>
      </c>
      <c r="B1" s="542"/>
      <c r="C1" s="84"/>
      <c r="D1" s="84"/>
      <c r="E1" s="549" t="s">
        <v>113</v>
      </c>
      <c r="F1" s="549"/>
      <c r="G1" s="549"/>
      <c r="H1" s="549"/>
    </row>
    <row r="2" spans="1:8">
      <c r="A2" s="86"/>
    </row>
    <row r="3" spans="1:8" ht="18.75">
      <c r="A3" s="550" t="s">
        <v>114</v>
      </c>
      <c r="B3" s="550"/>
      <c r="C3" s="550"/>
      <c r="D3" s="550"/>
      <c r="E3" s="550"/>
      <c r="F3" s="550"/>
      <c r="G3" s="550"/>
      <c r="H3" s="550"/>
    </row>
    <row r="4" spans="1:8">
      <c r="H4" s="91" t="s">
        <v>3</v>
      </c>
    </row>
    <row r="5" spans="1:8" ht="15" customHeight="1">
      <c r="A5" s="551" t="s">
        <v>4</v>
      </c>
      <c r="B5" s="551" t="s">
        <v>5</v>
      </c>
      <c r="C5" s="553" t="s">
        <v>6</v>
      </c>
      <c r="D5" s="555" t="s">
        <v>77</v>
      </c>
      <c r="E5" s="556"/>
      <c r="F5" s="557" t="s">
        <v>78</v>
      </c>
      <c r="G5" s="555" t="s">
        <v>757</v>
      </c>
      <c r="H5" s="556"/>
    </row>
    <row r="6" spans="1:8" ht="15" customHeight="1">
      <c r="A6" s="552"/>
      <c r="B6" s="552"/>
      <c r="C6" s="554"/>
      <c r="D6" s="560" t="s">
        <v>756</v>
      </c>
      <c r="E6" s="562" t="s">
        <v>644</v>
      </c>
      <c r="F6" s="558"/>
      <c r="G6" s="564" t="s">
        <v>643</v>
      </c>
      <c r="H6" s="566" t="s">
        <v>644</v>
      </c>
    </row>
    <row r="7" spans="1:8" ht="24.75" customHeight="1">
      <c r="A7" s="551"/>
      <c r="B7" s="551"/>
      <c r="C7" s="553"/>
      <c r="D7" s="561"/>
      <c r="E7" s="563"/>
      <c r="F7" s="559"/>
      <c r="G7" s="565"/>
      <c r="H7" s="559"/>
    </row>
    <row r="8" spans="1:8">
      <c r="A8" s="442" t="s">
        <v>11</v>
      </c>
      <c r="B8" s="442" t="s">
        <v>12</v>
      </c>
      <c r="C8" s="134">
        <v>1</v>
      </c>
      <c r="D8" s="135">
        <v>2</v>
      </c>
      <c r="E8" s="134">
        <v>3</v>
      </c>
      <c r="F8" s="134">
        <v>4</v>
      </c>
      <c r="G8" s="135">
        <v>5</v>
      </c>
      <c r="H8" s="134">
        <v>6</v>
      </c>
    </row>
    <row r="9" spans="1:8" s="97" customFormat="1">
      <c r="A9" s="92" t="s">
        <v>11</v>
      </c>
      <c r="B9" s="93" t="s">
        <v>115</v>
      </c>
      <c r="C9" s="94">
        <f t="shared" ref="C9:H9" si="0">C10</f>
        <v>163652.94815099999</v>
      </c>
      <c r="D9" s="95">
        <f t="shared" si="0"/>
        <v>91370</v>
      </c>
      <c r="E9" s="95">
        <f t="shared" si="0"/>
        <v>144370</v>
      </c>
      <c r="F9" s="96">
        <f>F10</f>
        <v>140275</v>
      </c>
      <c r="G9" s="92">
        <f t="shared" si="0"/>
        <v>117820</v>
      </c>
      <c r="H9" s="92">
        <f t="shared" si="0"/>
        <v>216220</v>
      </c>
    </row>
    <row r="10" spans="1:8">
      <c r="A10" s="98">
        <v>1</v>
      </c>
      <c r="B10" s="99" t="s">
        <v>15</v>
      </c>
      <c r="C10" s="100">
        <v>163652.94815099999</v>
      </c>
      <c r="D10" s="101">
        <v>91370</v>
      </c>
      <c r="E10" s="101">
        <v>144370</v>
      </c>
      <c r="F10" s="102">
        <v>140275</v>
      </c>
      <c r="G10" s="98">
        <f>117820</f>
        <v>117820</v>
      </c>
      <c r="H10" s="98">
        <v>216220</v>
      </c>
    </row>
    <row r="11" spans="1:8">
      <c r="A11" s="98">
        <v>2</v>
      </c>
      <c r="B11" s="99" t="s">
        <v>71</v>
      </c>
      <c r="C11" s="100"/>
      <c r="D11" s="101"/>
      <c r="E11" s="101"/>
      <c r="F11" s="102"/>
      <c r="G11" s="98"/>
      <c r="H11" s="98"/>
    </row>
    <row r="12" spans="1:8">
      <c r="A12" s="98">
        <v>3</v>
      </c>
      <c r="B12" s="99" t="s">
        <v>116</v>
      </c>
      <c r="C12" s="100"/>
      <c r="D12" s="101"/>
      <c r="E12" s="101"/>
      <c r="F12" s="102"/>
      <c r="G12" s="98"/>
      <c r="H12" s="98"/>
    </row>
    <row r="13" spans="1:8">
      <c r="A13" s="98">
        <v>4</v>
      </c>
      <c r="B13" s="99" t="s">
        <v>117</v>
      </c>
      <c r="C13" s="100"/>
      <c r="D13" s="101"/>
      <c r="E13" s="101"/>
      <c r="F13" s="102"/>
      <c r="G13" s="98"/>
      <c r="H13" s="98"/>
    </row>
    <row r="14" spans="1:8" s="106" customFormat="1" ht="17.25" customHeight="1">
      <c r="A14" s="103" t="s">
        <v>12</v>
      </c>
      <c r="B14" s="104" t="s">
        <v>118</v>
      </c>
      <c r="C14" s="103">
        <f>C15+C18+C21+C22+C23+C24</f>
        <v>583361.92760699999</v>
      </c>
      <c r="D14" s="103">
        <f>D15+D18+D21+D22+D23+D24</f>
        <v>319343</v>
      </c>
      <c r="E14" s="103">
        <f>E15+E18+E21+E22+E23+E24</f>
        <v>366153</v>
      </c>
      <c r="F14" s="105">
        <f>F15+F18+F21+F22+F23+F24</f>
        <v>478307.09580000007</v>
      </c>
      <c r="G14" s="103">
        <f>G15+G18+G21+G22+G23</f>
        <v>361225</v>
      </c>
      <c r="H14" s="103">
        <f>H15+H18+H21+H22+H23</f>
        <v>447546.75</v>
      </c>
    </row>
    <row r="15" spans="1:8" s="112" customFormat="1" ht="14.25">
      <c r="A15" s="107" t="s">
        <v>14</v>
      </c>
      <c r="B15" s="108" t="s">
        <v>119</v>
      </c>
      <c r="C15" s="109">
        <f t="shared" ref="C15:H15" si="1">C16+C17</f>
        <v>138928.90763999999</v>
      </c>
      <c r="D15" s="110">
        <f t="shared" si="1"/>
        <v>75491</v>
      </c>
      <c r="E15" s="110">
        <f t="shared" si="1"/>
        <v>122301</v>
      </c>
      <c r="F15" s="111">
        <f>F16+F17</f>
        <v>117871.05</v>
      </c>
      <c r="G15" s="107">
        <f t="shared" si="1"/>
        <v>94965</v>
      </c>
      <c r="H15" s="107">
        <f t="shared" si="1"/>
        <v>181286.75</v>
      </c>
    </row>
    <row r="16" spans="1:8">
      <c r="A16" s="98">
        <v>1</v>
      </c>
      <c r="B16" s="99" t="s">
        <v>120</v>
      </c>
      <c r="C16" s="100">
        <v>5246.6533259999997</v>
      </c>
      <c r="D16" s="101">
        <v>6200</v>
      </c>
      <c r="E16" s="101">
        <v>6200</v>
      </c>
      <c r="F16" s="61">
        <v>6925.75</v>
      </c>
      <c r="G16" s="113">
        <v>20025</v>
      </c>
      <c r="H16" s="526">
        <v>98697</v>
      </c>
    </row>
    <row r="17" spans="1:9">
      <c r="A17" s="98">
        <v>2</v>
      </c>
      <c r="B17" s="99" t="s">
        <v>121</v>
      </c>
      <c r="C17" s="100">
        <v>133682.25431399999</v>
      </c>
      <c r="D17" s="101">
        <v>69291</v>
      </c>
      <c r="E17" s="101">
        <v>116101</v>
      </c>
      <c r="F17" s="61">
        <v>110945.3</v>
      </c>
      <c r="G17" s="113">
        <f>74940</f>
        <v>74940</v>
      </c>
      <c r="H17" s="526">
        <v>82589.75</v>
      </c>
    </row>
    <row r="18" spans="1:9" s="112" customFormat="1" ht="14.25">
      <c r="A18" s="107" t="s">
        <v>70</v>
      </c>
      <c r="B18" s="108" t="s">
        <v>122</v>
      </c>
      <c r="C18" s="109">
        <f t="shared" ref="C18:H18" si="2">C19+C20</f>
        <v>348317.55099999998</v>
      </c>
      <c r="D18" s="110">
        <f t="shared" si="2"/>
        <v>243852</v>
      </c>
      <c r="E18" s="110">
        <f t="shared" si="2"/>
        <v>243852</v>
      </c>
      <c r="F18" s="111">
        <f>F19+F20</f>
        <v>253430.53599999999</v>
      </c>
      <c r="G18" s="107">
        <f t="shared" si="2"/>
        <v>266260</v>
      </c>
      <c r="H18" s="107">
        <f t="shared" si="2"/>
        <v>266260</v>
      </c>
    </row>
    <row r="19" spans="1:9">
      <c r="A19" s="98">
        <v>1</v>
      </c>
      <c r="B19" s="99" t="s">
        <v>123</v>
      </c>
      <c r="C19" s="100">
        <v>212136</v>
      </c>
      <c r="D19" s="101">
        <v>210681</v>
      </c>
      <c r="E19" s="101">
        <v>210681</v>
      </c>
      <c r="F19" s="102">
        <v>210681</v>
      </c>
      <c r="G19" s="114">
        <v>258162</v>
      </c>
      <c r="H19" s="114">
        <v>258162</v>
      </c>
    </row>
    <row r="20" spans="1:9">
      <c r="A20" s="98">
        <v>2</v>
      </c>
      <c r="B20" s="99" t="s">
        <v>124</v>
      </c>
      <c r="C20" s="100">
        <v>136181.55100000001</v>
      </c>
      <c r="D20" s="101">
        <v>33171</v>
      </c>
      <c r="E20" s="101">
        <v>33171</v>
      </c>
      <c r="F20" s="115">
        <f>33171+9578.536</f>
        <v>42749.536</v>
      </c>
      <c r="G20" s="98">
        <v>8098</v>
      </c>
      <c r="H20" s="98">
        <v>8098</v>
      </c>
    </row>
    <row r="21" spans="1:9">
      <c r="A21" s="107" t="s">
        <v>94</v>
      </c>
      <c r="B21" s="108" t="s">
        <v>125</v>
      </c>
      <c r="C21" s="100">
        <v>0</v>
      </c>
      <c r="D21" s="101">
        <v>0</v>
      </c>
      <c r="E21" s="101">
        <v>0</v>
      </c>
      <c r="F21" s="102">
        <v>0</v>
      </c>
      <c r="G21" s="98"/>
      <c r="H21" s="98"/>
    </row>
    <row r="22" spans="1:9" s="112" customFormat="1" ht="14.25">
      <c r="A22" s="107" t="s">
        <v>98</v>
      </c>
      <c r="B22" s="108" t="s">
        <v>126</v>
      </c>
      <c r="C22" s="109">
        <v>21678.16588</v>
      </c>
      <c r="D22" s="110">
        <v>0</v>
      </c>
      <c r="E22" s="110">
        <v>0</v>
      </c>
      <c r="F22" s="116">
        <v>8404.08</v>
      </c>
      <c r="G22" s="107"/>
      <c r="H22" s="107"/>
    </row>
    <row r="23" spans="1:9" s="112" customFormat="1" ht="22.5" customHeight="1">
      <c r="A23" s="107" t="s">
        <v>105</v>
      </c>
      <c r="B23" s="108" t="s">
        <v>127</v>
      </c>
      <c r="C23" s="109">
        <v>74198.171987000009</v>
      </c>
      <c r="D23" s="110">
        <v>0</v>
      </c>
      <c r="E23" s="110">
        <v>0</v>
      </c>
      <c r="F23" s="116">
        <v>98504.59</v>
      </c>
      <c r="G23" s="107"/>
      <c r="H23" s="107"/>
    </row>
    <row r="24" spans="1:9" s="112" customFormat="1" ht="14.25">
      <c r="A24" s="107" t="s">
        <v>128</v>
      </c>
      <c r="B24" s="108" t="s">
        <v>129</v>
      </c>
      <c r="C24" s="109">
        <v>239.1311</v>
      </c>
      <c r="D24" s="110">
        <v>0</v>
      </c>
      <c r="E24" s="110">
        <v>0</v>
      </c>
      <c r="F24" s="117">
        <v>96.839799999999997</v>
      </c>
      <c r="G24" s="107"/>
      <c r="H24" s="107"/>
    </row>
    <row r="25" spans="1:9" s="120" customFormat="1" ht="18" customHeight="1">
      <c r="A25" s="103" t="s">
        <v>130</v>
      </c>
      <c r="B25" s="104" t="s">
        <v>131</v>
      </c>
      <c r="C25" s="118">
        <f>C26+C32+C36+C37</f>
        <v>574957.84834699996</v>
      </c>
      <c r="D25" s="119">
        <f>D26+D32+D36</f>
        <v>319343</v>
      </c>
      <c r="E25" s="119">
        <f>E26+E32+E36</f>
        <v>366153</v>
      </c>
      <c r="F25" s="105">
        <f>F26+F32+F36</f>
        <v>478307.34399999992</v>
      </c>
      <c r="G25" s="103">
        <f>G26+G32+G36</f>
        <v>361225</v>
      </c>
      <c r="H25" s="103">
        <f>H26+H32+H36</f>
        <v>447546.75</v>
      </c>
    </row>
    <row r="26" spans="1:9" s="121" customFormat="1" ht="14.25">
      <c r="A26" s="107" t="s">
        <v>14</v>
      </c>
      <c r="B26" s="108" t="s">
        <v>132</v>
      </c>
      <c r="C26" s="109">
        <f t="shared" ref="C26:H26" si="3">SUM(C27:C31)</f>
        <v>344352.16251399997</v>
      </c>
      <c r="D26" s="110">
        <f t="shared" si="3"/>
        <v>286172</v>
      </c>
      <c r="E26" s="110">
        <f t="shared" si="3"/>
        <v>332982</v>
      </c>
      <c r="F26" s="111">
        <f>SUM(F27:F31)</f>
        <v>419970.98399999994</v>
      </c>
      <c r="G26" s="107">
        <f t="shared" si="3"/>
        <v>353127</v>
      </c>
      <c r="H26" s="107">
        <f t="shared" si="3"/>
        <v>439448.75</v>
      </c>
    </row>
    <row r="27" spans="1:9" s="127" customFormat="1">
      <c r="A27" s="122">
        <v>1</v>
      </c>
      <c r="B27" s="123" t="s">
        <v>133</v>
      </c>
      <c r="C27" s="124">
        <v>73574.593349000002</v>
      </c>
      <c r="D27" s="125">
        <f>10472</f>
        <v>10472</v>
      </c>
      <c r="E27" s="125">
        <v>51832</v>
      </c>
      <c r="F27" s="126">
        <v>62203.550999999999</v>
      </c>
      <c r="G27" s="113">
        <f>7832+10560</f>
        <v>18392</v>
      </c>
      <c r="H27" s="527">
        <v>97064</v>
      </c>
      <c r="I27" s="333" t="e">
        <f>#REF!</f>
        <v>#REF!</v>
      </c>
    </row>
    <row r="28" spans="1:9" s="127" customFormat="1">
      <c r="A28" s="122">
        <v>2</v>
      </c>
      <c r="B28" s="123" t="s">
        <v>134</v>
      </c>
      <c r="C28" s="124">
        <v>270777.56916499999</v>
      </c>
      <c r="D28" s="125">
        <v>269970</v>
      </c>
      <c r="E28" s="125">
        <v>268646</v>
      </c>
      <c r="F28" s="126">
        <v>267630.05</v>
      </c>
      <c r="G28" s="125">
        <v>327672</v>
      </c>
      <c r="H28" s="445">
        <v>329966.75</v>
      </c>
      <c r="I28" s="428" t="e">
        <f>#REF!</f>
        <v>#REF!</v>
      </c>
    </row>
    <row r="29" spans="1:9" s="127" customFormat="1">
      <c r="A29" s="122">
        <v>3</v>
      </c>
      <c r="B29" s="123" t="s">
        <v>135</v>
      </c>
      <c r="C29" s="124"/>
      <c r="D29" s="125">
        <v>0</v>
      </c>
      <c r="E29" s="125">
        <v>0</v>
      </c>
      <c r="F29" s="128">
        <v>0</v>
      </c>
      <c r="G29" s="122">
        <v>0</v>
      </c>
      <c r="H29" s="445">
        <v>0</v>
      </c>
    </row>
    <row r="30" spans="1:9" s="127" customFormat="1">
      <c r="A30" s="122">
        <v>4</v>
      </c>
      <c r="B30" s="123" t="s">
        <v>136</v>
      </c>
      <c r="C30" s="124"/>
      <c r="D30" s="125">
        <v>5730</v>
      </c>
      <c r="E30" s="125">
        <v>5730</v>
      </c>
      <c r="F30" s="126">
        <v>7629</v>
      </c>
      <c r="G30" s="125">
        <v>7063</v>
      </c>
      <c r="H30" s="125">
        <v>7063</v>
      </c>
    </row>
    <row r="31" spans="1:9" s="127" customFormat="1">
      <c r="A31" s="122">
        <v>5</v>
      </c>
      <c r="B31" s="123" t="s">
        <v>137</v>
      </c>
      <c r="C31" s="124"/>
      <c r="D31" s="125"/>
      <c r="E31" s="125">
        <v>6774</v>
      </c>
      <c r="F31" s="126">
        <v>82508.383000000002</v>
      </c>
      <c r="G31" s="124"/>
      <c r="H31" s="124">
        <v>5355</v>
      </c>
    </row>
    <row r="32" spans="1:9">
      <c r="A32" s="107" t="s">
        <v>70</v>
      </c>
      <c r="B32" s="108" t="s">
        <v>138</v>
      </c>
      <c r="C32" s="109">
        <f t="shared" ref="C32:H32" si="4">C33+C34+C35</f>
        <v>131252.464439</v>
      </c>
      <c r="D32" s="110">
        <f t="shared" si="4"/>
        <v>33171</v>
      </c>
      <c r="E32" s="110">
        <f t="shared" si="4"/>
        <v>33171</v>
      </c>
      <c r="F32" s="111">
        <f>F33+F34+F35</f>
        <v>58336.36</v>
      </c>
      <c r="G32" s="107">
        <f t="shared" si="4"/>
        <v>8098</v>
      </c>
      <c r="H32" s="107">
        <f t="shared" si="4"/>
        <v>8098</v>
      </c>
    </row>
    <row r="33" spans="1:8" s="127" customFormat="1" ht="17.25" customHeight="1">
      <c r="A33" s="122">
        <v>1</v>
      </c>
      <c r="B33" s="123" t="s">
        <v>139</v>
      </c>
      <c r="C33" s="124">
        <v>27448.799284000001</v>
      </c>
      <c r="D33" s="125">
        <v>12253</v>
      </c>
      <c r="E33" s="125">
        <v>12253</v>
      </c>
      <c r="F33" s="126">
        <v>22594.9</v>
      </c>
      <c r="G33" s="122">
        <v>8098</v>
      </c>
      <c r="H33" s="122">
        <v>8098</v>
      </c>
    </row>
    <row r="34" spans="1:8" s="127" customFormat="1">
      <c r="A34" s="122">
        <v>2</v>
      </c>
      <c r="B34" s="123" t="s">
        <v>140</v>
      </c>
      <c r="C34" s="124">
        <v>35600.40395</v>
      </c>
      <c r="D34" s="125">
        <v>20918</v>
      </c>
      <c r="E34" s="125">
        <v>20918</v>
      </c>
      <c r="F34" s="126">
        <v>34442.21</v>
      </c>
      <c r="G34" s="124"/>
      <c r="H34" s="124"/>
    </row>
    <row r="35" spans="1:8" s="127" customFormat="1">
      <c r="A35" s="122">
        <v>3</v>
      </c>
      <c r="B35" s="123" t="s">
        <v>141</v>
      </c>
      <c r="C35" s="124">
        <v>68203.261205000003</v>
      </c>
      <c r="D35" s="125">
        <v>0</v>
      </c>
      <c r="E35" s="125">
        <v>0</v>
      </c>
      <c r="F35" s="128">
        <v>1299.25</v>
      </c>
      <c r="G35" s="122">
        <v>0</v>
      </c>
      <c r="H35" s="122">
        <v>0</v>
      </c>
    </row>
    <row r="36" spans="1:8">
      <c r="A36" s="107" t="s">
        <v>94</v>
      </c>
      <c r="B36" s="108" t="s">
        <v>142</v>
      </c>
      <c r="C36" s="107">
        <v>98504.590293999994</v>
      </c>
      <c r="D36" s="101">
        <v>0</v>
      </c>
      <c r="E36" s="101">
        <v>0</v>
      </c>
      <c r="F36" s="102"/>
      <c r="G36" s="98"/>
      <c r="H36" s="98"/>
    </row>
    <row r="37" spans="1:8" s="112" customFormat="1" ht="14.25">
      <c r="A37" s="129" t="s">
        <v>98</v>
      </c>
      <c r="B37" s="130" t="s">
        <v>143</v>
      </c>
      <c r="C37" s="131">
        <v>848.63109999999995</v>
      </c>
      <c r="D37" s="132">
        <v>0</v>
      </c>
      <c r="E37" s="132">
        <v>0</v>
      </c>
      <c r="F37" s="129"/>
      <c r="G37" s="129"/>
      <c r="H37" s="129"/>
    </row>
    <row r="38" spans="1:8">
      <c r="A38" s="133"/>
    </row>
    <row r="39" spans="1:8">
      <c r="A39" s="567"/>
      <c r="E39" s="568"/>
      <c r="F39" s="568"/>
      <c r="G39" s="568"/>
      <c r="H39" s="568"/>
    </row>
    <row r="40" spans="1:8">
      <c r="A40" s="567"/>
      <c r="E40" s="569"/>
      <c r="F40" s="569"/>
      <c r="G40" s="569"/>
      <c r="H40" s="569"/>
    </row>
    <row r="41" spans="1:8">
      <c r="A41" s="567"/>
      <c r="E41" s="569"/>
      <c r="F41" s="569"/>
      <c r="G41" s="569"/>
      <c r="H41" s="569"/>
    </row>
    <row r="42" spans="1:8">
      <c r="A42" s="567"/>
      <c r="E42" s="568"/>
      <c r="F42" s="568"/>
      <c r="G42" s="568"/>
      <c r="H42" s="568"/>
    </row>
  </sheetData>
  <mergeCells count="18">
    <mergeCell ref="A39:A42"/>
    <mergeCell ref="E39:H39"/>
    <mergeCell ref="E40:H40"/>
    <mergeCell ref="E41:H41"/>
    <mergeCell ref="E42:H42"/>
    <mergeCell ref="E1:H1"/>
    <mergeCell ref="A3:H3"/>
    <mergeCell ref="A5:A7"/>
    <mergeCell ref="B5:B7"/>
    <mergeCell ref="C5:C7"/>
    <mergeCell ref="G5:H5"/>
    <mergeCell ref="D5:E5"/>
    <mergeCell ref="F5:F7"/>
    <mergeCell ref="D6:D7"/>
    <mergeCell ref="E6:E7"/>
    <mergeCell ref="G6:G7"/>
    <mergeCell ref="H6:H7"/>
    <mergeCell ref="A1:B1"/>
  </mergeCells>
  <hyperlinks>
    <hyperlink ref="E1:H1" location="'PL tong hop'!A1" display="Mẫu biểu số 29.1/TT342"/>
  </hyperlinks>
  <printOptions horizontalCentered="1"/>
  <pageMargins left="0.27559055118110237" right="0.19685039370078741" top="0.31496062992125984" bottom="0.31496062992125984" header="0.31496062992125984" footer="0.31496062992125984"/>
  <pageSetup scale="9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0"/>
  <sheetViews>
    <sheetView workbookViewId="0">
      <pane xSplit="3" ySplit="7" topLeftCell="D53" activePane="bottomRight" state="frozen"/>
      <selection pane="topRight" activeCell="D1" sqref="D1"/>
      <selection pane="bottomLeft" activeCell="A10" sqref="A10"/>
      <selection pane="bottomRight" activeCell="G55" sqref="G55"/>
    </sheetView>
  </sheetViews>
  <sheetFormatPr defaultColWidth="9.140625" defaultRowHeight="12.75"/>
  <cols>
    <col min="1" max="1" width="7.7109375" style="137" customWidth="1"/>
    <col min="2" max="2" width="44.5703125" style="138" customWidth="1"/>
    <col min="3" max="3" width="12" style="138" customWidth="1"/>
    <col min="4" max="4" width="16.85546875" style="138" customWidth="1"/>
    <col min="5" max="5" width="11.85546875" style="138" customWidth="1"/>
    <col min="6" max="6" width="15" style="138" customWidth="1"/>
    <col min="7" max="7" width="14.42578125" style="138" customWidth="1"/>
    <col min="8" max="8" width="14.85546875" style="138" customWidth="1"/>
    <col min="9" max="9" width="0" style="144" hidden="1" customWidth="1"/>
    <col min="10" max="12" width="9.140625" style="145"/>
    <col min="13" max="16384" width="9.140625" style="138"/>
  </cols>
  <sheetData>
    <row r="1" spans="1:12" s="136" customFormat="1" ht="15.75">
      <c r="A1" s="573" t="s">
        <v>0</v>
      </c>
      <c r="B1" s="573"/>
      <c r="C1" s="143"/>
      <c r="D1" s="143"/>
      <c r="E1" s="143"/>
      <c r="F1" s="143"/>
      <c r="G1" s="570" t="s">
        <v>144</v>
      </c>
      <c r="H1" s="570"/>
      <c r="I1" s="143"/>
      <c r="J1" s="143"/>
      <c r="K1" s="143"/>
      <c r="L1" s="143"/>
    </row>
    <row r="2" spans="1:12" ht="18.75">
      <c r="A2" s="571" t="s">
        <v>145</v>
      </c>
      <c r="B2" s="571"/>
      <c r="C2" s="571"/>
      <c r="D2" s="571"/>
      <c r="E2" s="571"/>
      <c r="F2" s="571"/>
      <c r="G2" s="571"/>
      <c r="H2" s="571"/>
      <c r="I2" s="145"/>
    </row>
    <row r="3" spans="1:12" ht="15" customHeight="1">
      <c r="A3" s="148"/>
      <c r="B3" s="149"/>
      <c r="C3" s="149"/>
      <c r="D3" s="149"/>
      <c r="E3" s="149"/>
      <c r="F3" s="149"/>
      <c r="G3" s="572" t="s">
        <v>3</v>
      </c>
      <c r="H3" s="572"/>
      <c r="I3" s="145"/>
    </row>
    <row r="4" spans="1:12" ht="25.5" customHeight="1">
      <c r="A4" s="552" t="s">
        <v>4</v>
      </c>
      <c r="B4" s="552" t="s">
        <v>5</v>
      </c>
      <c r="C4" s="552" t="s">
        <v>77</v>
      </c>
      <c r="D4" s="552"/>
      <c r="E4" s="552" t="s">
        <v>650</v>
      </c>
      <c r="F4" s="552"/>
      <c r="G4" s="552" t="s">
        <v>8</v>
      </c>
      <c r="H4" s="552"/>
    </row>
    <row r="5" spans="1:12" ht="107.25" customHeight="1">
      <c r="A5" s="552"/>
      <c r="B5" s="552"/>
      <c r="C5" s="443" t="s">
        <v>146</v>
      </c>
      <c r="D5" s="443" t="s">
        <v>147</v>
      </c>
      <c r="E5" s="443" t="s">
        <v>146</v>
      </c>
      <c r="F5" s="443" t="s">
        <v>147</v>
      </c>
      <c r="G5" s="443" t="s">
        <v>148</v>
      </c>
      <c r="H5" s="443" t="s">
        <v>767</v>
      </c>
    </row>
    <row r="6" spans="1:12" ht="15">
      <c r="A6" s="140" t="s">
        <v>11</v>
      </c>
      <c r="B6" s="140" t="s">
        <v>12</v>
      </c>
      <c r="C6" s="141">
        <v>1</v>
      </c>
      <c r="D6" s="141">
        <v>2</v>
      </c>
      <c r="E6" s="141">
        <v>3</v>
      </c>
      <c r="F6" s="141">
        <v>4</v>
      </c>
      <c r="G6" s="141">
        <v>5</v>
      </c>
      <c r="H6" s="141">
        <v>6</v>
      </c>
    </row>
    <row r="7" spans="1:12" ht="35.25" customHeight="1">
      <c r="A7" s="460"/>
      <c r="B7" s="460" t="s">
        <v>149</v>
      </c>
      <c r="C7" s="461">
        <f t="shared" ref="C7:H7" si="0">C8+C74+C75</f>
        <v>144370</v>
      </c>
      <c r="D7" s="461">
        <f t="shared" si="0"/>
        <v>83800</v>
      </c>
      <c r="E7" s="461">
        <f t="shared" si="0"/>
        <v>140275.25132399998</v>
      </c>
      <c r="F7" s="461">
        <f t="shared" si="0"/>
        <v>68966.570000000007</v>
      </c>
      <c r="G7" s="461">
        <f t="shared" si="0"/>
        <v>216220</v>
      </c>
      <c r="H7" s="461">
        <f t="shared" si="0"/>
        <v>144100</v>
      </c>
    </row>
    <row r="8" spans="1:12" ht="20.25" customHeight="1">
      <c r="A8" s="446" t="s">
        <v>14</v>
      </c>
      <c r="B8" s="449" t="s">
        <v>150</v>
      </c>
      <c r="C8" s="448">
        <f t="shared" ref="C8:H8" si="1">C9+C17+C23+C35+C41+C42+C43+C44+C45+C48+C52+C55+C56+C58+C62+C65+C66+C68+C71+C72+C73</f>
        <v>144370</v>
      </c>
      <c r="D8" s="448">
        <f t="shared" si="1"/>
        <v>83800</v>
      </c>
      <c r="E8" s="448">
        <f t="shared" si="1"/>
        <v>140275.25132399998</v>
      </c>
      <c r="F8" s="448">
        <f t="shared" si="1"/>
        <v>68966.570000000007</v>
      </c>
      <c r="G8" s="448">
        <f t="shared" si="1"/>
        <v>216220</v>
      </c>
      <c r="H8" s="448">
        <f t="shared" si="1"/>
        <v>144100</v>
      </c>
    </row>
    <row r="9" spans="1:12" ht="28.5">
      <c r="A9" s="450">
        <v>1</v>
      </c>
      <c r="B9" s="449" t="s">
        <v>18</v>
      </c>
      <c r="C9" s="448">
        <f t="shared" ref="C9:H9" si="2">C10+C12+C13+C15</f>
        <v>8090</v>
      </c>
      <c r="D9" s="448">
        <f t="shared" si="2"/>
        <v>0</v>
      </c>
      <c r="E9" s="451">
        <f>E10+E12+E13+E15+E16</f>
        <v>8540.0093240000006</v>
      </c>
      <c r="F9" s="452">
        <f>F10+F12+F13+F15+F16</f>
        <v>0</v>
      </c>
      <c r="G9" s="448">
        <f>G10+G12+G13+G15</f>
        <v>8540</v>
      </c>
      <c r="H9" s="448">
        <f t="shared" si="2"/>
        <v>0</v>
      </c>
    </row>
    <row r="10" spans="1:12" ht="15">
      <c r="A10" s="447"/>
      <c r="B10" s="453" t="s">
        <v>151</v>
      </c>
      <c r="C10" s="454">
        <v>8070</v>
      </c>
      <c r="D10" s="454">
        <v>0</v>
      </c>
      <c r="E10" s="451">
        <v>8525</v>
      </c>
      <c r="F10" s="452"/>
      <c r="G10" s="454">
        <v>8525</v>
      </c>
      <c r="H10" s="454"/>
    </row>
    <row r="11" spans="1:12" ht="30">
      <c r="A11" s="447"/>
      <c r="B11" s="455" t="s">
        <v>152</v>
      </c>
      <c r="C11" s="454"/>
      <c r="D11" s="454"/>
      <c r="E11" s="452"/>
      <c r="F11" s="452"/>
      <c r="G11" s="454"/>
      <c r="H11" s="454"/>
    </row>
    <row r="12" spans="1:12" ht="15">
      <c r="A12" s="447"/>
      <c r="B12" s="453" t="s">
        <v>153</v>
      </c>
      <c r="C12" s="454"/>
      <c r="D12" s="454"/>
      <c r="E12" s="452"/>
      <c r="F12" s="452"/>
      <c r="G12" s="454"/>
      <c r="H12" s="454"/>
    </row>
    <row r="13" spans="1:12" ht="15">
      <c r="A13" s="447"/>
      <c r="B13" s="453" t="s">
        <v>31</v>
      </c>
      <c r="C13" s="454"/>
      <c r="D13" s="454"/>
      <c r="E13" s="452"/>
      <c r="F13" s="452"/>
      <c r="G13" s="454"/>
      <c r="H13" s="454"/>
    </row>
    <row r="14" spans="1:12" ht="30">
      <c r="A14" s="447"/>
      <c r="B14" s="455" t="s">
        <v>154</v>
      </c>
      <c r="C14" s="454"/>
      <c r="D14" s="454"/>
      <c r="E14" s="452"/>
      <c r="F14" s="452"/>
      <c r="G14" s="454"/>
      <c r="H14" s="454"/>
    </row>
    <row r="15" spans="1:12" ht="15">
      <c r="A15" s="447"/>
      <c r="B15" s="453" t="s">
        <v>24</v>
      </c>
      <c r="C15" s="454">
        <v>20</v>
      </c>
      <c r="D15" s="454"/>
      <c r="E15" s="451">
        <f>15+0.009324</f>
        <v>15.009323999999999</v>
      </c>
      <c r="F15" s="452"/>
      <c r="G15" s="454">
        <v>15</v>
      </c>
      <c r="H15" s="454"/>
    </row>
    <row r="16" spans="1:12" ht="15">
      <c r="A16" s="447"/>
      <c r="B16" s="455" t="s">
        <v>155</v>
      </c>
      <c r="C16" s="454"/>
      <c r="D16" s="454"/>
      <c r="E16" s="452"/>
      <c r="F16" s="452"/>
      <c r="G16" s="454"/>
      <c r="H16" s="454"/>
    </row>
    <row r="17" spans="1:8" ht="28.5">
      <c r="A17" s="450">
        <v>2</v>
      </c>
      <c r="B17" s="449" t="s">
        <v>156</v>
      </c>
      <c r="C17" s="448">
        <f t="shared" ref="C17:H17" si="3">C18+C19+C20+C22</f>
        <v>350</v>
      </c>
      <c r="D17" s="448">
        <f t="shared" si="3"/>
        <v>250</v>
      </c>
      <c r="E17" s="452">
        <f>E18+E19+E20+E21+E22</f>
        <v>550.09</v>
      </c>
      <c r="F17" s="452">
        <f>F18+F19+F20+F21+F22</f>
        <v>310.09000000000003</v>
      </c>
      <c r="G17" s="448">
        <f t="shared" si="3"/>
        <v>510</v>
      </c>
      <c r="H17" s="448">
        <f t="shared" si="3"/>
        <v>270</v>
      </c>
    </row>
    <row r="18" spans="1:8" ht="15">
      <c r="A18" s="447"/>
      <c r="B18" s="453" t="s">
        <v>151</v>
      </c>
      <c r="C18" s="454">
        <v>170</v>
      </c>
      <c r="D18" s="454">
        <v>170</v>
      </c>
      <c r="E18" s="451">
        <v>259.85000000000002</v>
      </c>
      <c r="F18" s="452">
        <f>E18</f>
        <v>259.85000000000002</v>
      </c>
      <c r="G18" s="454">
        <v>210</v>
      </c>
      <c r="H18" s="454">
        <f>G18</f>
        <v>210</v>
      </c>
    </row>
    <row r="19" spans="1:8" ht="15">
      <c r="A19" s="447"/>
      <c r="B19" s="453" t="s">
        <v>153</v>
      </c>
      <c r="C19" s="454">
        <v>130</v>
      </c>
      <c r="D19" s="454">
        <v>30</v>
      </c>
      <c r="E19" s="452">
        <v>250</v>
      </c>
      <c r="F19" s="452">
        <v>30</v>
      </c>
      <c r="G19" s="454">
        <v>250</v>
      </c>
      <c r="H19" s="454">
        <f>30</f>
        <v>30</v>
      </c>
    </row>
    <row r="20" spans="1:8" ht="15">
      <c r="A20" s="447"/>
      <c r="B20" s="453" t="s">
        <v>157</v>
      </c>
      <c r="C20" s="454"/>
      <c r="D20" s="454"/>
      <c r="E20" s="452"/>
      <c r="F20" s="452"/>
      <c r="G20" s="454"/>
      <c r="H20" s="454"/>
    </row>
    <row r="21" spans="1:8" ht="30">
      <c r="A21" s="447"/>
      <c r="B21" s="455" t="s">
        <v>158</v>
      </c>
      <c r="C21" s="454"/>
      <c r="D21" s="454"/>
      <c r="E21" s="452"/>
      <c r="F21" s="452"/>
      <c r="G21" s="454"/>
      <c r="H21" s="454"/>
    </row>
    <row r="22" spans="1:8" ht="15">
      <c r="A22" s="447"/>
      <c r="B22" s="453" t="s">
        <v>24</v>
      </c>
      <c r="C22" s="454">
        <v>50</v>
      </c>
      <c r="D22" s="454">
        <v>50</v>
      </c>
      <c r="E22" s="452">
        <v>40.24</v>
      </c>
      <c r="F22" s="452">
        <v>20.239999999999998</v>
      </c>
      <c r="G22" s="454">
        <f>20+30</f>
        <v>50</v>
      </c>
      <c r="H22" s="454">
        <f>G22-20</f>
        <v>30</v>
      </c>
    </row>
    <row r="23" spans="1:8" ht="28.5">
      <c r="A23" s="450">
        <v>3</v>
      </c>
      <c r="B23" s="449" t="s">
        <v>159</v>
      </c>
      <c r="C23" s="448">
        <f t="shared" ref="C23:H23" si="4">C24+C26+C28+C29+C31+C33</f>
        <v>0</v>
      </c>
      <c r="D23" s="448">
        <f t="shared" si="4"/>
        <v>0</v>
      </c>
      <c r="E23" s="452">
        <f>SUM(E24:E26)</f>
        <v>77.39</v>
      </c>
      <c r="F23" s="452">
        <f>SUM(F24:F26)</f>
        <v>77.39</v>
      </c>
      <c r="G23" s="448">
        <f t="shared" si="4"/>
        <v>0</v>
      </c>
      <c r="H23" s="448">
        <f t="shared" si="4"/>
        <v>0</v>
      </c>
    </row>
    <row r="24" spans="1:8" ht="15">
      <c r="A24" s="447"/>
      <c r="B24" s="453" t="s">
        <v>151</v>
      </c>
      <c r="C24" s="454"/>
      <c r="D24" s="454"/>
      <c r="E24" s="454">
        <v>77.39</v>
      </c>
      <c r="F24" s="454">
        <f>E24</f>
        <v>77.39</v>
      </c>
      <c r="G24" s="454"/>
      <c r="H24" s="454"/>
    </row>
    <row r="25" spans="1:8" ht="30">
      <c r="A25" s="447"/>
      <c r="B25" s="455" t="s">
        <v>160</v>
      </c>
      <c r="C25" s="454"/>
      <c r="D25" s="454"/>
      <c r="E25" s="454"/>
      <c r="F25" s="454"/>
      <c r="G25" s="454"/>
      <c r="H25" s="454"/>
    </row>
    <row r="26" spans="1:8" ht="15">
      <c r="A26" s="447"/>
      <c r="B26" s="453" t="s">
        <v>153</v>
      </c>
      <c r="C26" s="454"/>
      <c r="D26" s="454"/>
      <c r="E26" s="454"/>
      <c r="F26" s="454"/>
      <c r="G26" s="454"/>
      <c r="H26" s="454"/>
    </row>
    <row r="27" spans="1:8" ht="30">
      <c r="A27" s="447"/>
      <c r="B27" s="455" t="s">
        <v>160</v>
      </c>
      <c r="C27" s="454"/>
      <c r="D27" s="454"/>
      <c r="E27" s="454"/>
      <c r="F27" s="454"/>
      <c r="G27" s="454"/>
      <c r="H27" s="454"/>
    </row>
    <row r="28" spans="1:8" ht="15">
      <c r="A28" s="447"/>
      <c r="B28" s="453" t="s">
        <v>161</v>
      </c>
      <c r="C28" s="454"/>
      <c r="D28" s="454"/>
      <c r="E28" s="454"/>
      <c r="F28" s="454"/>
      <c r="G28" s="454"/>
      <c r="H28" s="454"/>
    </row>
    <row r="29" spans="1:8" ht="15">
      <c r="A29" s="447"/>
      <c r="B29" s="453" t="s">
        <v>31</v>
      </c>
      <c r="C29" s="454"/>
      <c r="D29" s="454"/>
      <c r="E29" s="454"/>
      <c r="F29" s="454"/>
      <c r="G29" s="454"/>
      <c r="H29" s="454"/>
    </row>
    <row r="30" spans="1:8" ht="30">
      <c r="A30" s="447"/>
      <c r="B30" s="455" t="s">
        <v>162</v>
      </c>
      <c r="C30" s="454"/>
      <c r="D30" s="454"/>
      <c r="E30" s="454"/>
      <c r="F30" s="454"/>
      <c r="G30" s="454"/>
      <c r="H30" s="454"/>
    </row>
    <row r="31" spans="1:8" ht="15">
      <c r="A31" s="447"/>
      <c r="B31" s="453" t="s">
        <v>24</v>
      </c>
      <c r="C31" s="454"/>
      <c r="D31" s="454"/>
      <c r="E31" s="454"/>
      <c r="F31" s="454"/>
      <c r="G31" s="454"/>
      <c r="H31" s="454"/>
    </row>
    <row r="32" spans="1:8" ht="15">
      <c r="A32" s="447"/>
      <c r="B32" s="455" t="s">
        <v>25</v>
      </c>
      <c r="C32" s="454"/>
      <c r="D32" s="454"/>
      <c r="E32" s="454"/>
      <c r="F32" s="454"/>
      <c r="G32" s="454"/>
      <c r="H32" s="454"/>
    </row>
    <row r="33" spans="1:12" ht="15">
      <c r="A33" s="447"/>
      <c r="B33" s="453" t="s">
        <v>163</v>
      </c>
      <c r="C33" s="454"/>
      <c r="D33" s="454"/>
      <c r="E33" s="454"/>
      <c r="F33" s="454"/>
      <c r="G33" s="454"/>
      <c r="H33" s="454"/>
    </row>
    <row r="34" spans="1:12" ht="30">
      <c r="A34" s="447"/>
      <c r="B34" s="455" t="s">
        <v>29</v>
      </c>
      <c r="C34" s="454"/>
      <c r="D34" s="454"/>
      <c r="E34" s="454"/>
      <c r="F34" s="454"/>
      <c r="G34" s="454"/>
      <c r="H34" s="454"/>
    </row>
    <row r="35" spans="1:12" ht="14.25">
      <c r="A35" s="450">
        <v>4</v>
      </c>
      <c r="B35" s="449" t="s">
        <v>33</v>
      </c>
      <c r="C35" s="448">
        <f t="shared" ref="C35:H35" si="5">C36+C37+C38+C40</f>
        <v>71500</v>
      </c>
      <c r="D35" s="448">
        <f t="shared" si="5"/>
        <v>22500</v>
      </c>
      <c r="E35" s="448">
        <f t="shared" si="5"/>
        <v>84789.372000000003</v>
      </c>
      <c r="F35" s="448">
        <f t="shared" si="5"/>
        <v>25597.29</v>
      </c>
      <c r="G35" s="448">
        <f t="shared" si="5"/>
        <v>90640</v>
      </c>
      <c r="H35" s="448">
        <f t="shared" si="5"/>
        <v>31000</v>
      </c>
    </row>
    <row r="36" spans="1:12" ht="15">
      <c r="A36" s="447"/>
      <c r="B36" s="453" t="s">
        <v>19</v>
      </c>
      <c r="C36" s="454">
        <v>70620</v>
      </c>
      <c r="D36" s="454">
        <v>21760</v>
      </c>
      <c r="E36" s="451">
        <f>59500+24100</f>
        <v>83600</v>
      </c>
      <c r="F36" s="452">
        <v>24652.75</v>
      </c>
      <c r="G36" s="452">
        <v>89500</v>
      </c>
      <c r="H36" s="452">
        <v>30000</v>
      </c>
    </row>
    <row r="37" spans="1:12" ht="15">
      <c r="A37" s="447"/>
      <c r="B37" s="453" t="s">
        <v>21</v>
      </c>
      <c r="C37" s="454">
        <v>200</v>
      </c>
      <c r="D37" s="454">
        <v>200</v>
      </c>
      <c r="E37" s="451">
        <v>494.3</v>
      </c>
      <c r="F37" s="452">
        <v>400.55</v>
      </c>
      <c r="G37" s="454">
        <v>420</v>
      </c>
      <c r="H37" s="454">
        <v>400</v>
      </c>
    </row>
    <row r="38" spans="1:12" ht="15">
      <c r="A38" s="447"/>
      <c r="B38" s="453" t="s">
        <v>31</v>
      </c>
      <c r="C38" s="454">
        <v>40</v>
      </c>
      <c r="D38" s="454">
        <v>40</v>
      </c>
      <c r="E38" s="452">
        <v>40</v>
      </c>
      <c r="F38" s="452">
        <v>40</v>
      </c>
      <c r="G38" s="454">
        <v>40</v>
      </c>
      <c r="H38" s="454">
        <v>40</v>
      </c>
    </row>
    <row r="39" spans="1:12" ht="30">
      <c r="A39" s="447"/>
      <c r="B39" s="455" t="s">
        <v>158</v>
      </c>
      <c r="C39" s="454"/>
      <c r="D39" s="454"/>
      <c r="E39" s="454"/>
      <c r="F39" s="454"/>
      <c r="G39" s="454"/>
      <c r="H39" s="454"/>
    </row>
    <row r="40" spans="1:12" ht="15">
      <c r="A40" s="447"/>
      <c r="B40" s="453" t="s">
        <v>24</v>
      </c>
      <c r="C40" s="454">
        <v>640</v>
      </c>
      <c r="D40" s="454">
        <v>500</v>
      </c>
      <c r="E40" s="454">
        <v>655.072</v>
      </c>
      <c r="F40" s="454">
        <v>503.99</v>
      </c>
      <c r="G40" s="454">
        <v>680</v>
      </c>
      <c r="H40" s="454">
        <v>560</v>
      </c>
    </row>
    <row r="41" spans="1:12" s="139" customFormat="1" ht="14.25">
      <c r="A41" s="450">
        <v>5</v>
      </c>
      <c r="B41" s="449" t="s">
        <v>38</v>
      </c>
      <c r="C41" s="448">
        <v>4500</v>
      </c>
      <c r="D41" s="448">
        <v>4500</v>
      </c>
      <c r="E41" s="448">
        <v>4500</v>
      </c>
      <c r="F41" s="448">
        <v>4500</v>
      </c>
      <c r="G41" s="448">
        <v>4500</v>
      </c>
      <c r="H41" s="448">
        <v>4500</v>
      </c>
      <c r="I41" s="146"/>
      <c r="J41" s="147"/>
      <c r="K41" s="147"/>
      <c r="L41" s="147"/>
    </row>
    <row r="42" spans="1:12" s="139" customFormat="1" ht="14.25">
      <c r="A42" s="450">
        <v>6</v>
      </c>
      <c r="B42" s="449" t="s">
        <v>101</v>
      </c>
      <c r="C42" s="448">
        <v>0</v>
      </c>
      <c r="D42" s="448">
        <v>0</v>
      </c>
      <c r="E42" s="448"/>
      <c r="F42" s="448"/>
      <c r="G42" s="448"/>
      <c r="H42" s="448"/>
      <c r="I42" s="146"/>
      <c r="J42" s="147"/>
      <c r="K42" s="147"/>
      <c r="L42" s="147"/>
    </row>
    <row r="43" spans="1:12" s="139" customFormat="1" ht="14.25">
      <c r="A43" s="450">
        <v>7</v>
      </c>
      <c r="B43" s="449" t="s">
        <v>100</v>
      </c>
      <c r="C43" s="448">
        <v>30</v>
      </c>
      <c r="D43" s="448">
        <v>30</v>
      </c>
      <c r="E43" s="448">
        <v>19.239999999999998</v>
      </c>
      <c r="F43" s="448">
        <f>E43</f>
        <v>19.239999999999998</v>
      </c>
      <c r="G43" s="448">
        <v>30</v>
      </c>
      <c r="H43" s="448">
        <v>30</v>
      </c>
      <c r="I43" s="146"/>
      <c r="J43" s="147"/>
      <c r="K43" s="147"/>
      <c r="L43" s="147"/>
    </row>
    <row r="44" spans="1:12" s="139" customFormat="1" ht="14.25">
      <c r="A44" s="450">
        <v>8</v>
      </c>
      <c r="B44" s="449" t="s">
        <v>34</v>
      </c>
      <c r="C44" s="448">
        <v>5500</v>
      </c>
      <c r="D44" s="448">
        <v>3800</v>
      </c>
      <c r="E44" s="448">
        <v>5500</v>
      </c>
      <c r="F44" s="448">
        <v>4000</v>
      </c>
      <c r="G44" s="448">
        <v>5300</v>
      </c>
      <c r="H44" s="448">
        <v>4000</v>
      </c>
      <c r="I44" s="146"/>
      <c r="J44" s="147"/>
      <c r="K44" s="147"/>
      <c r="L44" s="147"/>
    </row>
    <row r="45" spans="1:12" s="139" customFormat="1" ht="14.25">
      <c r="A45" s="450">
        <v>9</v>
      </c>
      <c r="B45" s="449" t="s">
        <v>35</v>
      </c>
      <c r="C45" s="448">
        <v>0</v>
      </c>
      <c r="D45" s="448">
        <v>0</v>
      </c>
      <c r="E45" s="448">
        <v>0</v>
      </c>
      <c r="F45" s="448">
        <v>0</v>
      </c>
      <c r="G45" s="448"/>
      <c r="H45" s="448"/>
      <c r="I45" s="146"/>
      <c r="J45" s="147"/>
      <c r="K45" s="147"/>
      <c r="L45" s="147"/>
    </row>
    <row r="46" spans="1:12" ht="15">
      <c r="A46" s="447"/>
      <c r="B46" s="455" t="s">
        <v>36</v>
      </c>
      <c r="C46" s="454"/>
      <c r="D46" s="454"/>
      <c r="E46" s="454"/>
      <c r="F46" s="454"/>
      <c r="G46" s="454"/>
      <c r="H46" s="454"/>
    </row>
    <row r="47" spans="1:12" ht="15">
      <c r="A47" s="447"/>
      <c r="B47" s="455" t="s">
        <v>37</v>
      </c>
      <c r="C47" s="454"/>
      <c r="D47" s="454"/>
      <c r="E47" s="454"/>
      <c r="F47" s="454"/>
      <c r="G47" s="454"/>
      <c r="H47" s="454"/>
    </row>
    <row r="48" spans="1:12" s="139" customFormat="1" ht="14.25">
      <c r="A48" s="450">
        <v>10</v>
      </c>
      <c r="B48" s="449" t="s">
        <v>164</v>
      </c>
      <c r="C48" s="448">
        <v>1250</v>
      </c>
      <c r="D48" s="448">
        <v>1150</v>
      </c>
      <c r="E48" s="448">
        <f>E49+E50</f>
        <v>1250</v>
      </c>
      <c r="F48" s="448">
        <f>F49+F50</f>
        <v>1150</v>
      </c>
      <c r="G48" s="448">
        <v>1350</v>
      </c>
      <c r="H48" s="448">
        <v>1300</v>
      </c>
      <c r="I48" s="146"/>
      <c r="J48" s="147"/>
      <c r="K48" s="147"/>
      <c r="L48" s="147"/>
    </row>
    <row r="49" spans="1:12" ht="30">
      <c r="A49" s="447"/>
      <c r="B49" s="455" t="s">
        <v>165</v>
      </c>
      <c r="C49" s="454">
        <v>100</v>
      </c>
      <c r="D49" s="454">
        <v>100</v>
      </c>
      <c r="E49" s="454">
        <v>106</v>
      </c>
      <c r="F49" s="454">
        <v>106</v>
      </c>
      <c r="G49" s="454"/>
      <c r="H49" s="454"/>
    </row>
    <row r="50" spans="1:12" ht="30">
      <c r="A50" s="447"/>
      <c r="B50" s="455" t="s">
        <v>166</v>
      </c>
      <c r="C50" s="454">
        <v>1150</v>
      </c>
      <c r="D50" s="454">
        <v>1050</v>
      </c>
      <c r="E50" s="454">
        <v>1144</v>
      </c>
      <c r="F50" s="454">
        <f>E50-100</f>
        <v>1044</v>
      </c>
      <c r="G50" s="454">
        <v>1350</v>
      </c>
      <c r="H50" s="454">
        <v>1300</v>
      </c>
    </row>
    <row r="51" spans="1:12" ht="30">
      <c r="A51" s="447"/>
      <c r="B51" s="455" t="s">
        <v>167</v>
      </c>
      <c r="C51" s="454">
        <v>300</v>
      </c>
      <c r="D51" s="454">
        <v>300</v>
      </c>
      <c r="E51" s="454">
        <v>300</v>
      </c>
      <c r="F51" s="454">
        <v>300</v>
      </c>
      <c r="G51" s="454">
        <v>300</v>
      </c>
      <c r="H51" s="454">
        <v>300</v>
      </c>
    </row>
    <row r="52" spans="1:12" s="139" customFormat="1" ht="14.25">
      <c r="A52" s="450">
        <v>11</v>
      </c>
      <c r="B52" s="449" t="s">
        <v>168</v>
      </c>
      <c r="C52" s="448">
        <v>50000</v>
      </c>
      <c r="D52" s="448">
        <v>50000</v>
      </c>
      <c r="E52" s="448">
        <f>E53+E54</f>
        <v>31692.38</v>
      </c>
      <c r="F52" s="448">
        <f>F53+F54</f>
        <v>31692.38</v>
      </c>
      <c r="G52" s="448">
        <f>G53+G54</f>
        <v>101400</v>
      </c>
      <c r="H52" s="448">
        <f>H53+H54</f>
        <v>101400</v>
      </c>
      <c r="I52" s="146"/>
      <c r="J52" s="147"/>
      <c r="K52" s="147"/>
      <c r="L52" s="147"/>
    </row>
    <row r="53" spans="1:12" ht="30">
      <c r="A53" s="447"/>
      <c r="B53" s="455" t="s">
        <v>169</v>
      </c>
      <c r="C53" s="454"/>
      <c r="D53" s="454"/>
      <c r="E53" s="454"/>
      <c r="F53" s="454"/>
      <c r="G53" s="454"/>
      <c r="H53" s="454"/>
      <c r="I53" s="144">
        <f>H7-7000-I54</f>
        <v>47700</v>
      </c>
    </row>
    <row r="54" spans="1:12" ht="30">
      <c r="A54" s="447"/>
      <c r="B54" s="455" t="s">
        <v>170</v>
      </c>
      <c r="C54" s="454">
        <v>50000</v>
      </c>
      <c r="D54" s="454">
        <v>50000</v>
      </c>
      <c r="E54" s="451">
        <v>31692.38</v>
      </c>
      <c r="F54" s="454">
        <f>E54</f>
        <v>31692.38</v>
      </c>
      <c r="G54" s="454">
        <v>101400</v>
      </c>
      <c r="H54" s="454">
        <f>G54</f>
        <v>101400</v>
      </c>
      <c r="I54" s="144">
        <f>H54-12000</f>
        <v>89400</v>
      </c>
    </row>
    <row r="55" spans="1:12" ht="14.25">
      <c r="A55" s="450" t="s">
        <v>171</v>
      </c>
      <c r="B55" s="449" t="s">
        <v>172</v>
      </c>
      <c r="C55" s="448">
        <v>1720</v>
      </c>
      <c r="D55" s="448">
        <v>220</v>
      </c>
      <c r="E55" s="448">
        <v>1760</v>
      </c>
      <c r="F55" s="448">
        <v>260</v>
      </c>
      <c r="G55" s="448">
        <v>2350</v>
      </c>
      <c r="H55" s="448">
        <v>250</v>
      </c>
    </row>
    <row r="56" spans="1:12" ht="15">
      <c r="A56" s="450">
        <v>13</v>
      </c>
      <c r="B56" s="449" t="s">
        <v>173</v>
      </c>
      <c r="C56" s="454">
        <v>0</v>
      </c>
      <c r="D56" s="454">
        <v>0</v>
      </c>
      <c r="E56" s="454"/>
      <c r="F56" s="454"/>
      <c r="G56" s="454"/>
      <c r="H56" s="454"/>
    </row>
    <row r="57" spans="1:12" ht="30">
      <c r="A57" s="447"/>
      <c r="B57" s="455" t="s">
        <v>174</v>
      </c>
      <c r="C57" s="454"/>
      <c r="D57" s="454"/>
      <c r="E57" s="454"/>
      <c r="F57" s="454"/>
      <c r="G57" s="454"/>
      <c r="H57" s="454"/>
    </row>
    <row r="58" spans="1:12" ht="15">
      <c r="A58" s="447"/>
      <c r="B58" s="455" t="s">
        <v>175</v>
      </c>
      <c r="C58" s="454"/>
      <c r="D58" s="454"/>
      <c r="E58" s="454"/>
      <c r="F58" s="454"/>
      <c r="G58" s="454"/>
      <c r="H58" s="454"/>
    </row>
    <row r="59" spans="1:12" ht="15">
      <c r="A59" s="450">
        <v>14</v>
      </c>
      <c r="B59" s="449" t="s">
        <v>176</v>
      </c>
      <c r="C59" s="454"/>
      <c r="D59" s="454"/>
      <c r="E59" s="454"/>
      <c r="F59" s="454"/>
      <c r="G59" s="454"/>
      <c r="H59" s="454"/>
    </row>
    <row r="60" spans="1:12" ht="15">
      <c r="A60" s="447"/>
      <c r="B60" s="455" t="s">
        <v>177</v>
      </c>
      <c r="C60" s="454"/>
      <c r="D60" s="454"/>
      <c r="E60" s="454"/>
      <c r="F60" s="454"/>
      <c r="G60" s="454"/>
      <c r="H60" s="454"/>
    </row>
    <row r="61" spans="1:12" ht="15">
      <c r="A61" s="447"/>
      <c r="B61" s="455" t="s">
        <v>178</v>
      </c>
      <c r="C61" s="454"/>
      <c r="D61" s="454"/>
      <c r="E61" s="454"/>
      <c r="F61" s="454"/>
      <c r="G61" s="454"/>
      <c r="H61" s="454"/>
    </row>
    <row r="62" spans="1:12" ht="28.5">
      <c r="A62" s="450">
        <v>15</v>
      </c>
      <c r="B62" s="449" t="s">
        <v>179</v>
      </c>
      <c r="C62" s="454"/>
      <c r="D62" s="454"/>
      <c r="E62" s="454"/>
      <c r="F62" s="454"/>
      <c r="G62" s="454"/>
      <c r="H62" s="454"/>
    </row>
    <row r="63" spans="1:12" ht="15">
      <c r="A63" s="447"/>
      <c r="B63" s="455" t="s">
        <v>180</v>
      </c>
      <c r="C63" s="454"/>
      <c r="D63" s="454"/>
      <c r="E63" s="454"/>
      <c r="F63" s="454"/>
      <c r="G63" s="454"/>
      <c r="H63" s="454"/>
    </row>
    <row r="64" spans="1:12" ht="15">
      <c r="A64" s="447"/>
      <c r="B64" s="455" t="s">
        <v>181</v>
      </c>
      <c r="C64" s="454"/>
      <c r="D64" s="454"/>
      <c r="E64" s="454"/>
      <c r="F64" s="454"/>
      <c r="G64" s="454"/>
      <c r="H64" s="454"/>
    </row>
    <row r="65" spans="1:8" ht="28.5">
      <c r="A65" s="450">
        <v>16</v>
      </c>
      <c r="B65" s="449" t="s">
        <v>182</v>
      </c>
      <c r="C65" s="454"/>
      <c r="D65" s="454"/>
      <c r="E65" s="454"/>
      <c r="F65" s="454"/>
      <c r="G65" s="454"/>
      <c r="H65" s="454"/>
    </row>
    <row r="66" spans="1:8" ht="14.25">
      <c r="A66" s="450">
        <v>17</v>
      </c>
      <c r="B66" s="449" t="s">
        <v>61</v>
      </c>
      <c r="C66" s="448">
        <v>1380</v>
      </c>
      <c r="D66" s="448">
        <v>1300</v>
      </c>
      <c r="E66" s="448">
        <v>1424.16</v>
      </c>
      <c r="F66" s="448">
        <f>E66-120</f>
        <v>1304.1600000000001</v>
      </c>
      <c r="G66" s="456">
        <v>1420</v>
      </c>
      <c r="H66" s="456">
        <v>1300</v>
      </c>
    </row>
    <row r="67" spans="1:8" ht="15">
      <c r="A67" s="447"/>
      <c r="B67" s="455" t="s">
        <v>62</v>
      </c>
      <c r="C67" s="454"/>
      <c r="D67" s="454"/>
      <c r="E67" s="454">
        <v>470</v>
      </c>
      <c r="F67" s="454">
        <f>E67</f>
        <v>470</v>
      </c>
      <c r="G67" s="454">
        <v>400</v>
      </c>
      <c r="H67" s="454">
        <v>400</v>
      </c>
    </row>
    <row r="68" spans="1:8" ht="15">
      <c r="A68" s="450">
        <v>18</v>
      </c>
      <c r="B68" s="449" t="s">
        <v>63</v>
      </c>
      <c r="C68" s="448">
        <v>50</v>
      </c>
      <c r="D68" s="448">
        <v>50</v>
      </c>
      <c r="E68" s="451">
        <v>172.61</v>
      </c>
      <c r="F68" s="448">
        <v>56.02</v>
      </c>
      <c r="G68" s="448">
        <v>180</v>
      </c>
      <c r="H68" s="448">
        <v>50</v>
      </c>
    </row>
    <row r="69" spans="1:8" ht="15">
      <c r="A69" s="447"/>
      <c r="B69" s="455" t="s">
        <v>183</v>
      </c>
      <c r="C69" s="454"/>
      <c r="D69" s="454"/>
      <c r="E69" s="454"/>
      <c r="F69" s="454"/>
      <c r="G69" s="454"/>
      <c r="H69" s="454"/>
    </row>
    <row r="70" spans="1:8" ht="15">
      <c r="A70" s="447"/>
      <c r="B70" s="455" t="s">
        <v>184</v>
      </c>
      <c r="C70" s="454"/>
      <c r="D70" s="454"/>
      <c r="E70" s="454"/>
      <c r="F70" s="454"/>
      <c r="G70" s="454"/>
      <c r="H70" s="454"/>
    </row>
    <row r="71" spans="1:8" ht="28.5">
      <c r="A71" s="450">
        <v>19</v>
      </c>
      <c r="B71" s="449" t="s">
        <v>66</v>
      </c>
      <c r="C71" s="454">
        <v>0</v>
      </c>
      <c r="D71" s="454">
        <v>0</v>
      </c>
      <c r="E71" s="454"/>
      <c r="F71" s="454"/>
      <c r="G71" s="454"/>
      <c r="H71" s="454"/>
    </row>
    <row r="72" spans="1:8" ht="28.5">
      <c r="A72" s="450">
        <v>20</v>
      </c>
      <c r="B72" s="449" t="s">
        <v>185</v>
      </c>
      <c r="C72" s="454">
        <v>0</v>
      </c>
      <c r="D72" s="454">
        <v>0</v>
      </c>
      <c r="E72" s="454"/>
      <c r="F72" s="454"/>
      <c r="G72" s="454"/>
      <c r="H72" s="454"/>
    </row>
    <row r="73" spans="1:8" ht="28.5">
      <c r="A73" s="450">
        <v>21</v>
      </c>
      <c r="B73" s="449" t="s">
        <v>186</v>
      </c>
      <c r="C73" s="454">
        <v>0</v>
      </c>
      <c r="D73" s="454">
        <v>0</v>
      </c>
      <c r="E73" s="454"/>
      <c r="F73" s="454"/>
      <c r="G73" s="454"/>
      <c r="H73" s="454"/>
    </row>
    <row r="74" spans="1:8" ht="15">
      <c r="A74" s="450" t="s">
        <v>70</v>
      </c>
      <c r="B74" s="449" t="s">
        <v>187</v>
      </c>
      <c r="C74" s="454"/>
      <c r="D74" s="454"/>
      <c r="E74" s="454"/>
      <c r="F74" s="454"/>
      <c r="G74" s="454"/>
      <c r="H74" s="454"/>
    </row>
    <row r="75" spans="1:8" ht="28.5">
      <c r="A75" s="450" t="s">
        <v>94</v>
      </c>
      <c r="B75" s="449" t="s">
        <v>188</v>
      </c>
      <c r="C75" s="454"/>
      <c r="D75" s="454"/>
      <c r="E75" s="454"/>
      <c r="F75" s="454"/>
      <c r="G75" s="454"/>
      <c r="H75" s="454"/>
    </row>
    <row r="76" spans="1:8" ht="15">
      <c r="A76" s="450">
        <v>1</v>
      </c>
      <c r="B76" s="449" t="s">
        <v>189</v>
      </c>
      <c r="C76" s="454"/>
      <c r="D76" s="454"/>
      <c r="E76" s="454"/>
      <c r="F76" s="454"/>
      <c r="G76" s="454"/>
      <c r="H76" s="454"/>
    </row>
    <row r="77" spans="1:8" ht="15">
      <c r="A77" s="450">
        <v>2</v>
      </c>
      <c r="B77" s="449" t="s">
        <v>190</v>
      </c>
      <c r="C77" s="454"/>
      <c r="D77" s="454"/>
      <c r="E77" s="454"/>
      <c r="F77" s="454"/>
      <c r="G77" s="454"/>
      <c r="H77" s="454"/>
    </row>
    <row r="78" spans="1:8" ht="15">
      <c r="A78" s="450">
        <v>3</v>
      </c>
      <c r="B78" s="449" t="s">
        <v>191</v>
      </c>
      <c r="C78" s="454"/>
      <c r="D78" s="454"/>
      <c r="E78" s="454"/>
      <c r="F78" s="454"/>
      <c r="G78" s="454"/>
      <c r="H78" s="454"/>
    </row>
    <row r="79" spans="1:8" ht="15">
      <c r="A79" s="450">
        <v>4</v>
      </c>
      <c r="B79" s="449" t="s">
        <v>35</v>
      </c>
      <c r="C79" s="454"/>
      <c r="D79" s="454"/>
      <c r="E79" s="454"/>
      <c r="F79" s="454"/>
      <c r="G79" s="454"/>
      <c r="H79" s="454"/>
    </row>
    <row r="80" spans="1:8" ht="15">
      <c r="A80" s="457">
        <v>5</v>
      </c>
      <c r="B80" s="458" t="s">
        <v>192</v>
      </c>
      <c r="C80" s="459"/>
      <c r="D80" s="459"/>
      <c r="E80" s="459"/>
      <c r="F80" s="459"/>
      <c r="G80" s="459"/>
      <c r="H80" s="459"/>
    </row>
  </sheetData>
  <mergeCells count="9">
    <mergeCell ref="G1:H1"/>
    <mergeCell ref="A2:H2"/>
    <mergeCell ref="A4:A5"/>
    <mergeCell ref="B4:B5"/>
    <mergeCell ref="C4:D4"/>
    <mergeCell ref="E4:F4"/>
    <mergeCell ref="G4:H4"/>
    <mergeCell ref="G3:H3"/>
    <mergeCell ref="A1:B1"/>
  </mergeCells>
  <hyperlinks>
    <hyperlink ref="G1:H1" location="'PL tong hop'!A1" display="Mẫu biểu số 31/TT342"/>
  </hyperlinks>
  <printOptions horizontalCentered="1"/>
  <pageMargins left="0.27559055118110237" right="0.23622047244094491" top="0.31496062992125984" bottom="0.31496062992125984" header="0.31496062992125984" footer="0.31496062992125984"/>
  <pageSetup paperSize="9"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7"/>
  <sheetViews>
    <sheetView workbookViewId="0">
      <pane xSplit="3" ySplit="7" topLeftCell="E8" activePane="bottomRight" state="frozen"/>
      <selection pane="topRight" activeCell="D1" sqref="D1"/>
      <selection pane="bottomLeft" activeCell="A15" sqref="A15"/>
      <selection pane="bottomRight" activeCell="F21" sqref="F21"/>
    </sheetView>
  </sheetViews>
  <sheetFormatPr defaultColWidth="9.140625" defaultRowHeight="15"/>
  <cols>
    <col min="1" max="1" width="7.42578125" style="63" customWidth="1"/>
    <col min="2" max="2" width="46.7109375" style="63" customWidth="1"/>
    <col min="3" max="3" width="14.5703125" style="63" customWidth="1"/>
    <col min="4" max="4" width="15.7109375" style="63" customWidth="1"/>
    <col min="5" max="5" width="14.85546875" style="63" customWidth="1"/>
    <col min="6" max="6" width="14.42578125" style="63" customWidth="1"/>
    <col min="7" max="7" width="14.140625" style="63" customWidth="1"/>
    <col min="8" max="8" width="12.42578125" style="63" bestFit="1" customWidth="1"/>
    <col min="9" max="16384" width="9.140625" style="63"/>
  </cols>
  <sheetData>
    <row r="1" spans="1:8" ht="18.75" customHeight="1">
      <c r="A1" s="582" t="s">
        <v>0</v>
      </c>
      <c r="B1" s="582"/>
      <c r="C1" s="150"/>
      <c r="D1" s="150"/>
      <c r="E1" s="583" t="s">
        <v>193</v>
      </c>
      <c r="F1" s="583"/>
      <c r="G1" s="583"/>
    </row>
    <row r="2" spans="1:8" ht="24.75" customHeight="1">
      <c r="A2" s="584" t="s">
        <v>682</v>
      </c>
      <c r="B2" s="584"/>
      <c r="C2" s="584"/>
      <c r="D2" s="584"/>
      <c r="E2" s="584"/>
      <c r="F2" s="584"/>
      <c r="G2" s="584"/>
    </row>
    <row r="3" spans="1:8" s="65" customFormat="1" ht="20.25" customHeight="1">
      <c r="A3" s="64"/>
      <c r="C3" s="151"/>
      <c r="D3" s="151"/>
      <c r="E3" s="585" t="s">
        <v>590</v>
      </c>
      <c r="F3" s="585"/>
      <c r="G3" s="585"/>
    </row>
    <row r="4" spans="1:8" s="65" customFormat="1" ht="30" customHeight="1">
      <c r="A4" s="578" t="s">
        <v>4</v>
      </c>
      <c r="B4" s="578" t="s">
        <v>5</v>
      </c>
      <c r="C4" s="580" t="s">
        <v>77</v>
      </c>
      <c r="D4" s="581"/>
      <c r="E4" s="578" t="s">
        <v>650</v>
      </c>
      <c r="F4" s="575" t="s">
        <v>8</v>
      </c>
      <c r="G4" s="576"/>
    </row>
    <row r="5" spans="1:8" s="65" customFormat="1" ht="57" customHeight="1">
      <c r="A5" s="579"/>
      <c r="B5" s="579"/>
      <c r="C5" s="173" t="s">
        <v>647</v>
      </c>
      <c r="D5" s="173" t="s">
        <v>642</v>
      </c>
      <c r="E5" s="579"/>
      <c r="F5" s="173" t="s">
        <v>647</v>
      </c>
      <c r="G5" s="173" t="s">
        <v>642</v>
      </c>
    </row>
    <row r="6" spans="1:8" s="65" customFormat="1" ht="15.75">
      <c r="A6" s="174" t="s">
        <v>11</v>
      </c>
      <c r="B6" s="174" t="s">
        <v>12</v>
      </c>
      <c r="C6" s="178">
        <v>1</v>
      </c>
      <c r="D6" s="178">
        <v>2</v>
      </c>
      <c r="E6" s="178">
        <v>3</v>
      </c>
      <c r="F6" s="179">
        <v>4</v>
      </c>
      <c r="G6" s="178">
        <v>5</v>
      </c>
    </row>
    <row r="7" spans="1:8" s="66" customFormat="1" ht="30" customHeight="1">
      <c r="A7" s="152" t="s">
        <v>11</v>
      </c>
      <c r="B7" s="153" t="s">
        <v>194</v>
      </c>
      <c r="C7" s="154">
        <f>C8+C41</f>
        <v>319343.2</v>
      </c>
      <c r="D7" s="154">
        <f>D8+D41</f>
        <v>366153.22499999998</v>
      </c>
      <c r="E7" s="155">
        <f>E8+E41</f>
        <v>478307.30200000003</v>
      </c>
      <c r="F7" s="154">
        <f>F8+F41</f>
        <v>361225</v>
      </c>
      <c r="G7" s="154">
        <f>G8+G41</f>
        <v>447546.74699999997</v>
      </c>
    </row>
    <row r="8" spans="1:8" s="66" customFormat="1" ht="15.75">
      <c r="A8" s="156" t="s">
        <v>14</v>
      </c>
      <c r="B8" s="157" t="s">
        <v>195</v>
      </c>
      <c r="C8" s="158">
        <f>C10+C23+C39+C40</f>
        <v>286172.2</v>
      </c>
      <c r="D8" s="158">
        <f>D10+D23+D39+D40</f>
        <v>332982.22499999998</v>
      </c>
      <c r="E8" s="159">
        <f>E10+E23+E39+E40</f>
        <v>419970.94200000004</v>
      </c>
      <c r="F8" s="158">
        <f>F10+F23+F39+F40</f>
        <v>353127</v>
      </c>
      <c r="G8" s="158">
        <f>G10+G23+G39+G40</f>
        <v>439448.74699999997</v>
      </c>
    </row>
    <row r="9" spans="1:8" s="65" customFormat="1" ht="45" customHeight="1">
      <c r="A9" s="160"/>
      <c r="B9" s="161" t="s">
        <v>196</v>
      </c>
      <c r="C9" s="162"/>
      <c r="D9" s="162"/>
      <c r="E9" s="163"/>
      <c r="F9" s="162"/>
      <c r="G9" s="162"/>
    </row>
    <row r="10" spans="1:8" s="66" customFormat="1" ht="22.5" customHeight="1">
      <c r="A10" s="156">
        <v>1</v>
      </c>
      <c r="B10" s="157" t="s">
        <v>197</v>
      </c>
      <c r="C10" s="158">
        <f>C11+C12</f>
        <v>10472</v>
      </c>
      <c r="D10" s="158">
        <f>D11+D12</f>
        <v>51832</v>
      </c>
      <c r="E10" s="159">
        <f>E11+E12</f>
        <v>62203.512000000002</v>
      </c>
      <c r="F10" s="158">
        <f>F11+F12</f>
        <v>18392</v>
      </c>
      <c r="G10" s="158">
        <f>G11+G12</f>
        <v>97064</v>
      </c>
    </row>
    <row r="11" spans="1:8" s="66" customFormat="1" ht="71.25">
      <c r="A11" s="156" t="s">
        <v>17</v>
      </c>
      <c r="B11" s="157" t="s">
        <v>198</v>
      </c>
      <c r="C11" s="158"/>
      <c r="D11" s="158"/>
      <c r="E11" s="159"/>
      <c r="F11" s="158"/>
      <c r="G11" s="158"/>
    </row>
    <row r="12" spans="1:8" s="66" customFormat="1" ht="15.75">
      <c r="A12" s="156" t="s">
        <v>199</v>
      </c>
      <c r="B12" s="157" t="s">
        <v>200</v>
      </c>
      <c r="C12" s="158">
        <f>C14</f>
        <v>10472</v>
      </c>
      <c r="D12" s="158">
        <f>D14</f>
        <v>51832</v>
      </c>
      <c r="E12" s="159">
        <f>E14</f>
        <v>62203.512000000002</v>
      </c>
      <c r="F12" s="158">
        <f>F14</f>
        <v>18392</v>
      </c>
      <c r="G12" s="158">
        <f>G14</f>
        <v>97064</v>
      </c>
    </row>
    <row r="13" spans="1:8" s="66" customFormat="1" ht="15.75">
      <c r="A13" s="156"/>
      <c r="B13" s="157" t="s">
        <v>201</v>
      </c>
      <c r="C13" s="158"/>
      <c r="D13" s="158"/>
      <c r="E13" s="159"/>
      <c r="F13" s="158"/>
      <c r="G13" s="158"/>
    </row>
    <row r="14" spans="1:8" s="66" customFormat="1" ht="28.5">
      <c r="A14" s="156" t="s">
        <v>202</v>
      </c>
      <c r="B14" s="157" t="s">
        <v>203</v>
      </c>
      <c r="C14" s="158">
        <f>SUM(C15:C16)</f>
        <v>10472</v>
      </c>
      <c r="D14" s="158">
        <f>SUM(D15:D16)</f>
        <v>51832</v>
      </c>
      <c r="E14" s="159">
        <f>SUM(E15:E16)</f>
        <v>62203.512000000002</v>
      </c>
      <c r="F14" s="158">
        <f>SUM(F15:F16)</f>
        <v>18392</v>
      </c>
      <c r="G14" s="158">
        <f>SUM(G15:G16)</f>
        <v>97064</v>
      </c>
    </row>
    <row r="15" spans="1:8" s="65" customFormat="1" ht="15.75">
      <c r="A15" s="160" t="s">
        <v>204</v>
      </c>
      <c r="B15" s="164" t="s">
        <v>205</v>
      </c>
      <c r="C15" s="162">
        <v>7832</v>
      </c>
      <c r="D15" s="162">
        <v>7832</v>
      </c>
      <c r="E15" s="163">
        <v>27993.03</v>
      </c>
      <c r="F15" s="162">
        <v>7832</v>
      </c>
      <c r="G15" s="162">
        <v>7832</v>
      </c>
    </row>
    <row r="16" spans="1:8" s="65" customFormat="1" ht="15.75">
      <c r="A16" s="160" t="s">
        <v>206</v>
      </c>
      <c r="B16" s="164" t="s">
        <v>207</v>
      </c>
      <c r="C16" s="162">
        <v>2640</v>
      </c>
      <c r="D16" s="162">
        <v>44000</v>
      </c>
      <c r="E16" s="163">
        <v>34210.482000000004</v>
      </c>
      <c r="F16" s="162">
        <v>10560</v>
      </c>
      <c r="G16" s="162">
        <v>89232</v>
      </c>
      <c r="H16" s="334"/>
    </row>
    <row r="17" spans="1:8" s="66" customFormat="1" ht="26.25" customHeight="1">
      <c r="A17" s="156" t="s">
        <v>210</v>
      </c>
      <c r="B17" s="157" t="s">
        <v>211</v>
      </c>
      <c r="C17" s="158">
        <f>SUM(C18:C22)</f>
        <v>0</v>
      </c>
      <c r="D17" s="158">
        <f>SUM(D18:D22)</f>
        <v>51832</v>
      </c>
      <c r="E17" s="159">
        <f>SUM(E18:E22)</f>
        <v>61527.127868999996</v>
      </c>
      <c r="F17" s="158">
        <f>SUM(F18:F22)</f>
        <v>18392</v>
      </c>
      <c r="G17" s="158">
        <f>SUM(G18:G22)</f>
        <v>97064</v>
      </c>
      <c r="H17" s="165"/>
    </row>
    <row r="18" spans="1:8" s="65" customFormat="1" ht="15.75">
      <c r="A18" s="166" t="s">
        <v>204</v>
      </c>
      <c r="B18" s="161" t="s">
        <v>212</v>
      </c>
      <c r="C18" s="162"/>
      <c r="D18" s="162">
        <v>10880</v>
      </c>
      <c r="E18" s="163">
        <v>19599</v>
      </c>
      <c r="F18" s="162">
        <v>2602</v>
      </c>
      <c r="G18" s="162">
        <v>2602</v>
      </c>
      <c r="H18" s="167"/>
    </row>
    <row r="19" spans="1:8" s="65" customFormat="1" ht="15.75">
      <c r="A19" s="166" t="s">
        <v>206</v>
      </c>
      <c r="B19" s="161" t="s">
        <v>215</v>
      </c>
      <c r="C19" s="162"/>
      <c r="D19" s="162"/>
      <c r="E19" s="163">
        <v>78.25</v>
      </c>
      <c r="F19" s="162">
        <v>5700</v>
      </c>
      <c r="G19" s="162">
        <v>5700</v>
      </c>
    </row>
    <row r="20" spans="1:8" s="65" customFormat="1" ht="15.75">
      <c r="A20" s="166" t="s">
        <v>208</v>
      </c>
      <c r="B20" s="161" t="s">
        <v>221</v>
      </c>
      <c r="C20" s="162"/>
      <c r="D20" s="162">
        <v>40952</v>
      </c>
      <c r="E20" s="163">
        <f>39493.57+2258.377869+97.93</f>
        <v>41849.877868999996</v>
      </c>
      <c r="F20" s="162">
        <v>10090</v>
      </c>
      <c r="G20" s="162">
        <v>78870</v>
      </c>
      <c r="H20" s="167"/>
    </row>
    <row r="21" spans="1:8" s="65" customFormat="1" ht="30">
      <c r="A21" s="429" t="s">
        <v>209</v>
      </c>
      <c r="B21" s="430" t="s">
        <v>824</v>
      </c>
      <c r="C21" s="69"/>
      <c r="D21" s="69"/>
      <c r="E21" s="69"/>
      <c r="F21" s="69"/>
      <c r="G21" s="69">
        <v>6200</v>
      </c>
      <c r="H21" s="167"/>
    </row>
    <row r="22" spans="1:8" s="67" customFormat="1" ht="19.5" customHeight="1">
      <c r="A22" s="166" t="s">
        <v>216</v>
      </c>
      <c r="B22" s="161" t="s">
        <v>227</v>
      </c>
      <c r="C22" s="162"/>
      <c r="D22" s="162"/>
      <c r="E22" s="163"/>
      <c r="F22" s="162"/>
      <c r="G22" s="528">
        <f>2271+1421</f>
        <v>3692</v>
      </c>
    </row>
    <row r="23" spans="1:8" s="68" customFormat="1" ht="19.5" customHeight="1">
      <c r="A23" s="156">
        <v>2</v>
      </c>
      <c r="B23" s="157" t="s">
        <v>134</v>
      </c>
      <c r="C23" s="158">
        <v>269970.2</v>
      </c>
      <c r="D23" s="158">
        <f>SUM(D24:D27)</f>
        <v>268645.91499999998</v>
      </c>
      <c r="E23" s="159">
        <f>SUM(E24:E27)</f>
        <v>267630.05000000005</v>
      </c>
      <c r="F23" s="158">
        <f>SUM(F24:F27)</f>
        <v>327672</v>
      </c>
      <c r="G23" s="158">
        <f>SUM(G24:G27)</f>
        <v>329966.74699999997</v>
      </c>
    </row>
    <row r="24" spans="1:8" s="67" customFormat="1" ht="23.25" customHeight="1">
      <c r="A24" s="166" t="s">
        <v>204</v>
      </c>
      <c r="B24" s="161" t="s">
        <v>212</v>
      </c>
      <c r="C24" s="162">
        <v>159376.25</v>
      </c>
      <c r="D24" s="162">
        <v>159376.25</v>
      </c>
      <c r="E24" s="163">
        <v>158876.69</v>
      </c>
      <c r="F24" s="162">
        <v>196950</v>
      </c>
      <c r="G24" s="162">
        <v>196950</v>
      </c>
    </row>
    <row r="25" spans="1:8" s="67" customFormat="1" ht="15.75">
      <c r="A25" s="166" t="s">
        <v>206</v>
      </c>
      <c r="B25" s="161" t="s">
        <v>213</v>
      </c>
      <c r="C25" s="162">
        <v>150</v>
      </c>
      <c r="D25" s="162">
        <v>150</v>
      </c>
      <c r="E25" s="163">
        <v>150</v>
      </c>
      <c r="F25" s="162">
        <v>150</v>
      </c>
      <c r="G25" s="162">
        <v>150</v>
      </c>
    </row>
    <row r="26" spans="1:8" s="67" customFormat="1" ht="15.75">
      <c r="A26" s="166" t="s">
        <v>208</v>
      </c>
      <c r="B26" s="161" t="s">
        <v>232</v>
      </c>
      <c r="C26" s="162">
        <v>2007</v>
      </c>
      <c r="D26" s="162">
        <v>2123.61</v>
      </c>
      <c r="E26" s="163">
        <v>2116.41</v>
      </c>
      <c r="F26" s="162">
        <v>6399</v>
      </c>
      <c r="G26" s="162">
        <v>6399</v>
      </c>
    </row>
    <row r="27" spans="1:8" s="67" customFormat="1" ht="15.75">
      <c r="A27" s="166" t="s">
        <v>209</v>
      </c>
      <c r="B27" s="161" t="s">
        <v>565</v>
      </c>
      <c r="C27" s="162">
        <v>108437</v>
      </c>
      <c r="D27" s="162">
        <f>SUM(D28:D38)-D32-D33-D34</f>
        <v>106996.05500000001</v>
      </c>
      <c r="E27" s="163">
        <f>SUM(E28:E38)-E32-E33-E34</f>
        <v>106486.95000000001</v>
      </c>
      <c r="F27" s="162">
        <f>SUM(F28:F38)-F32-F33-F34</f>
        <v>124173</v>
      </c>
      <c r="G27" s="162">
        <f>SUM(G28:G38)-G32-G33-G34</f>
        <v>126467.747</v>
      </c>
    </row>
    <row r="28" spans="1:8" s="67" customFormat="1" ht="15.75">
      <c r="A28" s="168" t="s">
        <v>257</v>
      </c>
      <c r="B28" s="161" t="s">
        <v>214</v>
      </c>
      <c r="C28" s="162"/>
      <c r="D28" s="162">
        <v>8320.2199999999993</v>
      </c>
      <c r="E28" s="163">
        <v>8370.2199999999993</v>
      </c>
      <c r="F28" s="162">
        <v>8158</v>
      </c>
      <c r="G28" s="162">
        <v>8158</v>
      </c>
    </row>
    <row r="29" spans="1:8" s="67" customFormat="1" ht="15.75">
      <c r="A29" s="168" t="s">
        <v>257</v>
      </c>
      <c r="B29" s="161" t="s">
        <v>215</v>
      </c>
      <c r="C29" s="162"/>
      <c r="D29" s="162">
        <f>1830+200</f>
        <v>2030</v>
      </c>
      <c r="E29" s="163">
        <v>1930</v>
      </c>
      <c r="F29" s="162">
        <v>4948</v>
      </c>
      <c r="G29" s="162">
        <v>2920</v>
      </c>
    </row>
    <row r="30" spans="1:8" s="67" customFormat="1" ht="15.75">
      <c r="A30" s="168" t="s">
        <v>257</v>
      </c>
      <c r="B30" s="161" t="s">
        <v>228</v>
      </c>
      <c r="C30" s="162"/>
      <c r="D30" s="162"/>
      <c r="E30" s="163"/>
      <c r="F30" s="162">
        <v>941</v>
      </c>
      <c r="G30" s="162">
        <v>941</v>
      </c>
    </row>
    <row r="31" spans="1:8" s="67" customFormat="1" ht="30">
      <c r="A31" s="168" t="s">
        <v>257</v>
      </c>
      <c r="B31" s="431" t="s">
        <v>786</v>
      </c>
      <c r="C31" s="162"/>
      <c r="D31" s="162">
        <f>D32+D33+D34</f>
        <v>3839.0299999999997</v>
      </c>
      <c r="E31" s="163">
        <f>E32+E33+E34</f>
        <v>3625.39</v>
      </c>
      <c r="F31" s="162">
        <f>F32+F33+F34</f>
        <v>3393</v>
      </c>
      <c r="G31" s="162">
        <f>G32+G33+G34</f>
        <v>3443</v>
      </c>
    </row>
    <row r="32" spans="1:8" s="67" customFormat="1" ht="15.75">
      <c r="A32" s="168" t="s">
        <v>111</v>
      </c>
      <c r="B32" s="161" t="s">
        <v>229</v>
      </c>
      <c r="C32" s="162"/>
      <c r="D32" s="162">
        <v>1962.26</v>
      </c>
      <c r="E32" s="163">
        <v>1919.02</v>
      </c>
      <c r="F32" s="169">
        <v>1627</v>
      </c>
      <c r="G32" s="169">
        <v>1627</v>
      </c>
    </row>
    <row r="33" spans="1:8" s="67" customFormat="1" ht="15.75">
      <c r="A33" s="168" t="s">
        <v>111</v>
      </c>
      <c r="B33" s="161" t="s">
        <v>230</v>
      </c>
      <c r="C33" s="162"/>
      <c r="D33" s="162">
        <v>1173.77</v>
      </c>
      <c r="E33" s="163">
        <v>1132.3699999999999</v>
      </c>
      <c r="F33" s="162">
        <v>1208</v>
      </c>
      <c r="G33" s="162">
        <v>1208</v>
      </c>
    </row>
    <row r="34" spans="1:8" s="67" customFormat="1" ht="15.75">
      <c r="A34" s="168" t="s">
        <v>111</v>
      </c>
      <c r="B34" s="161" t="s">
        <v>231</v>
      </c>
      <c r="C34" s="162"/>
      <c r="D34" s="162">
        <v>703</v>
      </c>
      <c r="E34" s="163">
        <v>574</v>
      </c>
      <c r="F34" s="162">
        <v>558</v>
      </c>
      <c r="G34" s="162">
        <v>608</v>
      </c>
    </row>
    <row r="35" spans="1:8" s="67" customFormat="1" ht="15.75">
      <c r="A35" s="168" t="s">
        <v>257</v>
      </c>
      <c r="B35" s="161" t="s">
        <v>221</v>
      </c>
      <c r="C35" s="162"/>
      <c r="D35" s="162">
        <v>14533.805</v>
      </c>
      <c r="E35" s="163">
        <v>14417.12</v>
      </c>
      <c r="F35" s="162">
        <v>20336</v>
      </c>
      <c r="G35" s="162">
        <v>19460.212</v>
      </c>
    </row>
    <row r="36" spans="1:8" s="67" customFormat="1" ht="24.75" customHeight="1">
      <c r="A36" s="168" t="s">
        <v>257</v>
      </c>
      <c r="B36" s="161" t="s">
        <v>223</v>
      </c>
      <c r="C36" s="162"/>
      <c r="D36" s="162">
        <v>69525.868000000002</v>
      </c>
      <c r="E36" s="163">
        <f>69118.29+210</f>
        <v>69328.289999999994</v>
      </c>
      <c r="F36" s="162">
        <v>66344</v>
      </c>
      <c r="G36" s="323">
        <v>70993.755000000005</v>
      </c>
    </row>
    <row r="37" spans="1:8" s="67" customFormat="1" ht="15.75">
      <c r="A37" s="168" t="s">
        <v>257</v>
      </c>
      <c r="B37" s="161" t="s">
        <v>225</v>
      </c>
      <c r="C37" s="162"/>
      <c r="D37" s="162">
        <v>7217.1319999999996</v>
      </c>
      <c r="E37" s="163">
        <v>7309.13</v>
      </c>
      <c r="F37" s="162">
        <v>17826</v>
      </c>
      <c r="G37" s="162">
        <v>17363.78</v>
      </c>
      <c r="H37" s="432"/>
    </row>
    <row r="38" spans="1:8" s="67" customFormat="1" ht="15.75">
      <c r="A38" s="168" t="s">
        <v>257</v>
      </c>
      <c r="B38" s="161" t="s">
        <v>227</v>
      </c>
      <c r="C38" s="162"/>
      <c r="D38" s="162">
        <v>1530</v>
      </c>
      <c r="E38" s="163">
        <v>1506.8</v>
      </c>
      <c r="F38" s="162">
        <v>2227</v>
      </c>
      <c r="G38" s="162">
        <v>3188</v>
      </c>
    </row>
    <row r="39" spans="1:8" s="68" customFormat="1" ht="15.75">
      <c r="A39" s="156">
        <v>3</v>
      </c>
      <c r="B39" s="157" t="s">
        <v>136</v>
      </c>
      <c r="C39" s="158">
        <v>5730</v>
      </c>
      <c r="D39" s="158">
        <v>5730</v>
      </c>
      <c r="E39" s="159">
        <v>7629</v>
      </c>
      <c r="F39" s="158">
        <v>7063</v>
      </c>
      <c r="G39" s="158">
        <v>7063</v>
      </c>
    </row>
    <row r="40" spans="1:8" s="68" customFormat="1" ht="15.75">
      <c r="A40" s="156">
        <v>4</v>
      </c>
      <c r="B40" s="157" t="s">
        <v>233</v>
      </c>
      <c r="C40" s="158"/>
      <c r="D40" s="158">
        <f>[7]b15!E34</f>
        <v>6774.31</v>
      </c>
      <c r="E40" s="159">
        <v>82508.38</v>
      </c>
      <c r="F40" s="158">
        <f>[7]b15!G34</f>
        <v>0</v>
      </c>
      <c r="G40" s="158">
        <v>5355</v>
      </c>
    </row>
    <row r="41" spans="1:8" s="68" customFormat="1" ht="28.5">
      <c r="A41" s="156" t="s">
        <v>70</v>
      </c>
      <c r="B41" s="157" t="s">
        <v>651</v>
      </c>
      <c r="C41" s="158">
        <f>C42+C43+C44</f>
        <v>33171</v>
      </c>
      <c r="D41" s="158">
        <f>D42+D43+D44</f>
        <v>33171</v>
      </c>
      <c r="E41" s="159">
        <f>E42+E43+E44</f>
        <v>58336.36</v>
      </c>
      <c r="F41" s="158">
        <f>F42+F43+F44</f>
        <v>8098</v>
      </c>
      <c r="G41" s="158">
        <f>G42+G43+G44</f>
        <v>8098</v>
      </c>
    </row>
    <row r="42" spans="1:8" s="68" customFormat="1" ht="28.5">
      <c r="A42" s="156">
        <v>1</v>
      </c>
      <c r="B42" s="157" t="s">
        <v>141</v>
      </c>
      <c r="C42" s="158"/>
      <c r="D42" s="158"/>
      <c r="E42" s="159">
        <v>1299.25</v>
      </c>
      <c r="F42" s="158">
        <v>0</v>
      </c>
      <c r="G42" s="158">
        <v>0</v>
      </c>
    </row>
    <row r="43" spans="1:8" s="68" customFormat="1" ht="28.5">
      <c r="A43" s="156">
        <v>2</v>
      </c>
      <c r="B43" s="157" t="s">
        <v>234</v>
      </c>
      <c r="C43" s="158">
        <v>10963</v>
      </c>
      <c r="D43" s="158">
        <v>10963</v>
      </c>
      <c r="E43" s="159">
        <v>22594.9</v>
      </c>
      <c r="F43" s="170">
        <v>8098</v>
      </c>
      <c r="G43" s="170">
        <v>8098</v>
      </c>
    </row>
    <row r="44" spans="1:8" s="68" customFormat="1" ht="32.25" customHeight="1">
      <c r="A44" s="156">
        <v>3</v>
      </c>
      <c r="B44" s="157" t="s">
        <v>235</v>
      </c>
      <c r="C44" s="158">
        <v>22208</v>
      </c>
      <c r="D44" s="158">
        <v>22208</v>
      </c>
      <c r="E44" s="159">
        <v>34442.21</v>
      </c>
      <c r="F44" s="170"/>
      <c r="G44" s="170"/>
    </row>
    <row r="45" spans="1:8" s="65" customFormat="1" ht="33.75" customHeight="1">
      <c r="A45" s="156" t="s">
        <v>12</v>
      </c>
      <c r="B45" s="157" t="s">
        <v>236</v>
      </c>
      <c r="C45" s="162"/>
      <c r="D45" s="162"/>
      <c r="E45" s="163"/>
      <c r="F45" s="162"/>
      <c r="G45" s="162"/>
    </row>
    <row r="46" spans="1:8" s="65" customFormat="1" ht="15.75">
      <c r="A46" s="175"/>
      <c r="B46" s="176"/>
      <c r="C46" s="177"/>
      <c r="D46" s="177"/>
      <c r="E46" s="177"/>
      <c r="F46" s="177"/>
      <c r="G46" s="177"/>
    </row>
    <row r="47" spans="1:8" s="65" customFormat="1" ht="15.75">
      <c r="A47" s="171"/>
    </row>
    <row r="48" spans="1:8" s="65" customFormat="1" ht="18.75" customHeight="1">
      <c r="C48" s="574"/>
      <c r="D48" s="574"/>
      <c r="E48" s="574"/>
      <c r="F48" s="574"/>
      <c r="G48" s="574"/>
    </row>
    <row r="49" spans="1:7" s="65" customFormat="1" ht="18.75" customHeight="1">
      <c r="C49" s="577"/>
      <c r="D49" s="577"/>
      <c r="E49" s="577"/>
      <c r="F49" s="577"/>
      <c r="G49" s="577"/>
    </row>
    <row r="50" spans="1:7" s="65" customFormat="1" ht="18.75" customHeight="1">
      <c r="C50" s="577"/>
      <c r="D50" s="577"/>
      <c r="E50" s="577"/>
      <c r="F50" s="577"/>
      <c r="G50" s="577"/>
    </row>
    <row r="51" spans="1:7" s="65" customFormat="1" ht="18.75" customHeight="1">
      <c r="C51" s="574"/>
      <c r="D51" s="574"/>
      <c r="E51" s="574"/>
      <c r="F51" s="574"/>
      <c r="G51" s="574"/>
    </row>
    <row r="52" spans="1:7" s="65" customFormat="1" ht="15.75">
      <c r="A52" s="172"/>
    </row>
    <row r="53" spans="1:7" s="65" customFormat="1" ht="15.75">
      <c r="A53" s="172"/>
    </row>
    <row r="54" spans="1:7" s="65" customFormat="1" ht="15.75">
      <c r="A54" s="172"/>
    </row>
    <row r="55" spans="1:7" s="65" customFormat="1" ht="15.75">
      <c r="A55" s="172"/>
    </row>
    <row r="56" spans="1:7" s="65" customFormat="1" ht="15.75">
      <c r="A56" s="172"/>
    </row>
    <row r="57" spans="1:7" s="65" customFormat="1" ht="15.75">
      <c r="A57" s="172"/>
    </row>
    <row r="58" spans="1:7" s="65" customFormat="1" ht="15.75">
      <c r="A58" s="172"/>
    </row>
    <row r="59" spans="1:7" s="65" customFormat="1" ht="15.75">
      <c r="A59" s="172"/>
    </row>
    <row r="60" spans="1:7" s="65" customFormat="1" ht="15.75">
      <c r="A60" s="172"/>
    </row>
    <row r="61" spans="1:7" s="65" customFormat="1" ht="15.75">
      <c r="A61" s="172"/>
    </row>
    <row r="62" spans="1:7" s="65" customFormat="1" ht="15.75"/>
    <row r="63" spans="1:7" s="65" customFormat="1" ht="15.75"/>
    <row r="64" spans="1:7" s="65" customFormat="1" ht="15.75"/>
    <row r="65" s="65" customFormat="1" ht="15.75"/>
    <row r="66" s="65" customFormat="1" ht="15.75"/>
    <row r="67" s="65" customFormat="1" ht="15.75"/>
    <row r="68" s="65" customFormat="1" ht="15.75"/>
    <row r="69" s="65" customFormat="1" ht="15.75"/>
    <row r="70" s="65" customFormat="1" ht="15.75"/>
    <row r="71" s="65" customFormat="1" ht="15.75"/>
    <row r="72" s="65" customFormat="1" ht="15.75"/>
    <row r="73" s="65" customFormat="1" ht="15.75"/>
    <row r="74" s="65" customFormat="1" ht="15.75"/>
    <row r="75" s="65" customFormat="1" ht="15.75"/>
    <row r="76" s="65" customFormat="1" ht="15.75"/>
    <row r="77" s="65" customFormat="1" ht="15.75"/>
  </sheetData>
  <mergeCells count="13">
    <mergeCell ref="A4:A5"/>
    <mergeCell ref="B4:B5"/>
    <mergeCell ref="C4:D4"/>
    <mergeCell ref="E4:E5"/>
    <mergeCell ref="A1:B1"/>
    <mergeCell ref="E1:G1"/>
    <mergeCell ref="A2:G2"/>
    <mergeCell ref="E3:G3"/>
    <mergeCell ref="C51:G51"/>
    <mergeCell ref="F4:G4"/>
    <mergeCell ref="C48:G48"/>
    <mergeCell ref="C49:G49"/>
    <mergeCell ref="C50:G50"/>
  </mergeCells>
  <printOptions horizontalCentered="1"/>
  <pageMargins left="0.31496062992125984" right="0.23622047244094491" top="0.31496062992125984" bottom="0.31496062992125984" header="0.31496062992125984" footer="0.31496062992125984"/>
  <pageSetup paperSize="9" orientation="landscape" verticalDpi="0"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441"/>
  <sheetViews>
    <sheetView view="pageBreakPreview" zoomScale="90" zoomScaleNormal="90" zoomScaleSheetLayoutView="90" workbookViewId="0">
      <pane xSplit="4" ySplit="10" topLeftCell="E183" activePane="bottomRight" state="frozen"/>
      <selection activeCell="A2" sqref="A2"/>
      <selection pane="topRight" activeCell="E2" sqref="E2"/>
      <selection pane="bottomLeft" activeCell="A12" sqref="A12"/>
      <selection pane="bottomRight" activeCell="E186" sqref="E186"/>
    </sheetView>
  </sheetViews>
  <sheetFormatPr defaultColWidth="9.140625" defaultRowHeight="12"/>
  <cols>
    <col min="1" max="1" width="4.85546875" style="180" customWidth="1"/>
    <col min="2" max="2" width="53.7109375" style="181" customWidth="1"/>
    <col min="3" max="3" width="14" style="407" customWidth="1"/>
    <col min="4" max="4" width="9.7109375" style="180" hidden="1" customWidth="1"/>
    <col min="5" max="5" width="13.42578125" style="182" customWidth="1"/>
    <col min="6" max="6" width="13.42578125" style="182" hidden="1" customWidth="1"/>
    <col min="7" max="7" width="11.85546875" style="183" customWidth="1"/>
    <col min="8" max="8" width="11.85546875" style="181" customWidth="1"/>
    <col min="9" max="9" width="11.85546875" style="180" hidden="1" customWidth="1"/>
    <col min="10" max="15" width="11.85546875" style="181" hidden="1" customWidth="1"/>
    <col min="16" max="16" width="10.28515625" style="181" hidden="1" customWidth="1"/>
    <col min="17" max="17" width="11.5703125" style="181" customWidth="1"/>
    <col min="18" max="18" width="10.85546875" style="181" customWidth="1"/>
    <col min="19" max="19" width="39.7109375" style="407" customWidth="1"/>
    <col min="20" max="16384" width="9.140625" style="181"/>
  </cols>
  <sheetData>
    <row r="1" spans="1:19" ht="20.25" customHeight="1">
      <c r="A1" s="591" t="s">
        <v>237</v>
      </c>
      <c r="B1" s="591"/>
      <c r="C1" s="529"/>
      <c r="D1" s="184"/>
      <c r="E1" s="407"/>
      <c r="F1" s="407"/>
      <c r="G1" s="592"/>
      <c r="H1" s="592"/>
      <c r="I1" s="185"/>
      <c r="J1" s="407"/>
      <c r="K1" s="407"/>
      <c r="L1" s="407"/>
      <c r="M1" s="407"/>
      <c r="N1" s="407"/>
      <c r="O1" s="407"/>
      <c r="P1" s="407"/>
      <c r="Q1" s="186"/>
      <c r="R1" s="407"/>
      <c r="S1" s="182" t="s">
        <v>827</v>
      </c>
    </row>
    <row r="2" spans="1:19" ht="24" customHeight="1">
      <c r="A2" s="593" t="s">
        <v>826</v>
      </c>
      <c r="B2" s="593"/>
      <c r="C2" s="593"/>
      <c r="D2" s="593"/>
      <c r="E2" s="593"/>
      <c r="F2" s="593"/>
      <c r="G2" s="593"/>
      <c r="H2" s="593"/>
      <c r="I2" s="593"/>
      <c r="J2" s="593"/>
      <c r="K2" s="593"/>
      <c r="L2" s="593"/>
      <c r="M2" s="593"/>
      <c r="N2" s="593"/>
      <c r="O2" s="593"/>
      <c r="P2" s="593"/>
      <c r="Q2" s="593"/>
      <c r="R2" s="593"/>
      <c r="S2" s="593"/>
    </row>
    <row r="3" spans="1:19" s="197" customFormat="1" ht="23.25" customHeight="1">
      <c r="A3" s="187"/>
      <c r="B3" s="188"/>
      <c r="C3" s="335"/>
      <c r="D3" s="189"/>
      <c r="E3" s="190"/>
      <c r="F3" s="190"/>
      <c r="G3" s="191"/>
      <c r="H3" s="192"/>
      <c r="I3" s="193"/>
      <c r="J3" s="194"/>
      <c r="K3" s="195"/>
      <c r="L3" s="195"/>
      <c r="M3" s="195"/>
      <c r="N3" s="195"/>
      <c r="O3" s="196"/>
      <c r="P3" s="196"/>
      <c r="Q3" s="196"/>
      <c r="R3" s="196"/>
      <c r="S3" s="196"/>
    </row>
    <row r="4" spans="1:19" s="198" customFormat="1" ht="18.75" customHeight="1">
      <c r="A4" s="594" t="s">
        <v>4</v>
      </c>
      <c r="B4" s="595" t="s">
        <v>238</v>
      </c>
      <c r="C4" s="596" t="s">
        <v>666</v>
      </c>
      <c r="D4" s="599" t="s">
        <v>239</v>
      </c>
      <c r="E4" s="596" t="s">
        <v>665</v>
      </c>
      <c r="F4" s="602" t="s">
        <v>784</v>
      </c>
      <c r="G4" s="588" t="s">
        <v>240</v>
      </c>
      <c r="H4" s="586" t="s">
        <v>201</v>
      </c>
      <c r="I4" s="587"/>
      <c r="J4" s="587"/>
      <c r="K4" s="587"/>
      <c r="L4" s="587"/>
      <c r="M4" s="587"/>
      <c r="N4" s="587"/>
      <c r="O4" s="587"/>
      <c r="P4" s="587"/>
      <c r="Q4" s="587"/>
      <c r="R4" s="608" t="s">
        <v>241</v>
      </c>
      <c r="S4" s="595" t="s">
        <v>242</v>
      </c>
    </row>
    <row r="5" spans="1:19" s="198" customFormat="1" ht="24.75" customHeight="1">
      <c r="A5" s="594"/>
      <c r="B5" s="595"/>
      <c r="C5" s="597"/>
      <c r="D5" s="600"/>
      <c r="E5" s="597"/>
      <c r="F5" s="589"/>
      <c r="G5" s="589"/>
      <c r="H5" s="588" t="s">
        <v>243</v>
      </c>
      <c r="I5" s="609" t="s">
        <v>801</v>
      </c>
      <c r="J5" s="587"/>
      <c r="K5" s="587"/>
      <c r="L5" s="587"/>
      <c r="M5" s="587"/>
      <c r="N5" s="587"/>
      <c r="O5" s="587"/>
      <c r="P5" s="588" t="s">
        <v>244</v>
      </c>
      <c r="Q5" s="588" t="s">
        <v>245</v>
      </c>
      <c r="R5" s="608"/>
      <c r="S5" s="595"/>
    </row>
    <row r="6" spans="1:19" s="199" customFormat="1" ht="24.75" customHeight="1">
      <c r="A6" s="594"/>
      <c r="B6" s="595"/>
      <c r="C6" s="597"/>
      <c r="D6" s="600"/>
      <c r="E6" s="597"/>
      <c r="F6" s="589"/>
      <c r="G6" s="589"/>
      <c r="H6" s="589"/>
      <c r="I6" s="614" t="s">
        <v>802</v>
      </c>
      <c r="J6" s="603" t="s">
        <v>246</v>
      </c>
      <c r="K6" s="617" t="s">
        <v>247</v>
      </c>
      <c r="L6" s="618"/>
      <c r="M6" s="603" t="s">
        <v>248</v>
      </c>
      <c r="N6" s="606" t="s">
        <v>201</v>
      </c>
      <c r="O6" s="607"/>
      <c r="P6" s="589"/>
      <c r="Q6" s="589"/>
      <c r="R6" s="608"/>
      <c r="S6" s="595"/>
    </row>
    <row r="7" spans="1:19" s="199" customFormat="1" ht="30" customHeight="1">
      <c r="A7" s="594"/>
      <c r="B7" s="595"/>
      <c r="C7" s="597"/>
      <c r="D7" s="600"/>
      <c r="E7" s="597"/>
      <c r="F7" s="589"/>
      <c r="G7" s="589"/>
      <c r="H7" s="589"/>
      <c r="I7" s="615"/>
      <c r="J7" s="604"/>
      <c r="K7" s="621" t="s">
        <v>249</v>
      </c>
      <c r="L7" s="603" t="s">
        <v>250</v>
      </c>
      <c r="M7" s="604"/>
      <c r="N7" s="603" t="s">
        <v>251</v>
      </c>
      <c r="O7" s="623" t="s">
        <v>252</v>
      </c>
      <c r="P7" s="589"/>
      <c r="Q7" s="589"/>
      <c r="R7" s="608"/>
      <c r="S7" s="595"/>
    </row>
    <row r="8" spans="1:19" s="199" customFormat="1" ht="6" customHeight="1">
      <c r="A8" s="594"/>
      <c r="B8" s="595"/>
      <c r="C8" s="598"/>
      <c r="D8" s="601"/>
      <c r="E8" s="598"/>
      <c r="F8" s="590"/>
      <c r="G8" s="590"/>
      <c r="H8" s="590"/>
      <c r="I8" s="616"/>
      <c r="J8" s="605"/>
      <c r="K8" s="622"/>
      <c r="L8" s="605"/>
      <c r="M8" s="605"/>
      <c r="N8" s="605"/>
      <c r="O8" s="624"/>
      <c r="P8" s="590"/>
      <c r="Q8" s="590"/>
      <c r="R8" s="608"/>
      <c r="S8" s="595"/>
    </row>
    <row r="9" spans="1:19" s="202" customFormat="1" ht="24.75" customHeight="1">
      <c r="A9" s="200" t="s">
        <v>11</v>
      </c>
      <c r="B9" s="201" t="s">
        <v>12</v>
      </c>
      <c r="C9" s="262">
        <v>1</v>
      </c>
      <c r="D9" s="262"/>
      <c r="E9" s="262">
        <v>2</v>
      </c>
      <c r="F9" s="263"/>
      <c r="G9" s="262">
        <v>3</v>
      </c>
      <c r="H9" s="262">
        <v>4</v>
      </c>
      <c r="I9" s="263"/>
      <c r="J9" s="262">
        <v>5</v>
      </c>
      <c r="K9" s="262">
        <v>6</v>
      </c>
      <c r="L9" s="263"/>
      <c r="M9" s="262">
        <v>7</v>
      </c>
      <c r="N9" s="262">
        <v>8</v>
      </c>
      <c r="O9" s="263"/>
      <c r="P9" s="262">
        <v>9</v>
      </c>
      <c r="Q9" s="262">
        <v>10</v>
      </c>
      <c r="R9" s="263"/>
      <c r="S9" s="262">
        <v>11</v>
      </c>
    </row>
    <row r="10" spans="1:19" s="208" customFormat="1" ht="17.25" customHeight="1">
      <c r="A10" s="203" t="s">
        <v>11</v>
      </c>
      <c r="B10" s="204" t="s">
        <v>253</v>
      </c>
      <c r="C10" s="330">
        <f>C11+C25+C418</f>
        <v>304741.15899999999</v>
      </c>
      <c r="D10" s="205"/>
      <c r="E10" s="413">
        <f>E11+E25+E418</f>
        <v>378521.97002000001</v>
      </c>
      <c r="F10" s="206">
        <f>E10-C10</f>
        <v>73780.811020000023</v>
      </c>
      <c r="G10" s="207">
        <f t="shared" ref="G10:R10" si="0">G11+G25+G418</f>
        <v>370474.97002000001</v>
      </c>
      <c r="H10" s="207">
        <f t="shared" si="0"/>
        <v>222591.80002</v>
      </c>
      <c r="I10" s="207">
        <f t="shared" si="0"/>
        <v>1177</v>
      </c>
      <c r="J10" s="207">
        <f t="shared" si="0"/>
        <v>173881.67702</v>
      </c>
      <c r="K10" s="207">
        <f t="shared" si="0"/>
        <v>0</v>
      </c>
      <c r="L10" s="207">
        <f t="shared" si="0"/>
        <v>0</v>
      </c>
      <c r="M10" s="207">
        <f t="shared" si="0"/>
        <v>48710.123</v>
      </c>
      <c r="N10" s="207">
        <f t="shared" si="0"/>
        <v>28908.73</v>
      </c>
      <c r="O10" s="207">
        <f t="shared" si="0"/>
        <v>19801.393</v>
      </c>
      <c r="P10" s="207">
        <f t="shared" si="0"/>
        <v>59459.17</v>
      </c>
      <c r="Q10" s="207">
        <f t="shared" si="0"/>
        <v>88424</v>
      </c>
      <c r="R10" s="207">
        <f t="shared" si="0"/>
        <v>8047</v>
      </c>
      <c r="S10" s="203"/>
    </row>
    <row r="11" spans="1:19" s="183" customFormat="1" ht="17.25" customHeight="1">
      <c r="A11" s="209" t="s">
        <v>14</v>
      </c>
      <c r="B11" s="210" t="s">
        <v>254</v>
      </c>
      <c r="C11" s="406">
        <f>C12+C13+C22+C23+C24</f>
        <v>50932</v>
      </c>
      <c r="D11" s="211"/>
      <c r="E11" s="338">
        <f>E12+E13+E22+E23+E24</f>
        <v>95851</v>
      </c>
      <c r="F11" s="406">
        <f t="shared" ref="F11:R11" si="1">F12+F13+F22+F23+F24</f>
        <v>44919</v>
      </c>
      <c r="G11" s="406">
        <f t="shared" si="1"/>
        <v>88424</v>
      </c>
      <c r="H11" s="406">
        <f t="shared" si="1"/>
        <v>0</v>
      </c>
      <c r="I11" s="406">
        <f t="shared" si="1"/>
        <v>0</v>
      </c>
      <c r="J11" s="406">
        <f t="shared" si="1"/>
        <v>0</v>
      </c>
      <c r="K11" s="406">
        <f t="shared" si="1"/>
        <v>0</v>
      </c>
      <c r="L11" s="406">
        <f t="shared" si="1"/>
        <v>0</v>
      </c>
      <c r="M11" s="406">
        <f t="shared" si="1"/>
        <v>0</v>
      </c>
      <c r="N11" s="406">
        <f t="shared" si="1"/>
        <v>0</v>
      </c>
      <c r="O11" s="406">
        <f t="shared" si="1"/>
        <v>0</v>
      </c>
      <c r="P11" s="406">
        <f t="shared" si="1"/>
        <v>0</v>
      </c>
      <c r="Q11" s="406">
        <f t="shared" si="1"/>
        <v>88424</v>
      </c>
      <c r="R11" s="406">
        <f t="shared" si="1"/>
        <v>7427</v>
      </c>
      <c r="S11" s="406"/>
    </row>
    <row r="12" spans="1:19" s="183" customFormat="1" ht="17.25" customHeight="1">
      <c r="A12" s="209">
        <v>1</v>
      </c>
      <c r="B12" s="210" t="s">
        <v>255</v>
      </c>
      <c r="C12" s="406">
        <v>7832</v>
      </c>
      <c r="D12" s="211"/>
      <c r="E12" s="338">
        <f>G12+R12</f>
        <v>7832</v>
      </c>
      <c r="F12" s="212">
        <f t="shared" ref="F12:F66" si="2">E12-C12</f>
        <v>0</v>
      </c>
      <c r="G12" s="213">
        <f>H12+P12+Q12</f>
        <v>7832</v>
      </c>
      <c r="H12" s="213">
        <f>J12+M12</f>
        <v>0</v>
      </c>
      <c r="I12" s="213"/>
      <c r="J12" s="213">
        <f>K12+L12</f>
        <v>0</v>
      </c>
      <c r="K12" s="213"/>
      <c r="L12" s="213"/>
      <c r="M12" s="213">
        <f>N12+O12</f>
        <v>0</v>
      </c>
      <c r="N12" s="213"/>
      <c r="O12" s="213"/>
      <c r="P12" s="213"/>
      <c r="Q12" s="213">
        <v>7832</v>
      </c>
      <c r="R12" s="213"/>
      <c r="S12" s="433" t="s">
        <v>828</v>
      </c>
    </row>
    <row r="13" spans="1:19" s="183" customFormat="1" ht="17.25" customHeight="1">
      <c r="A13" s="209">
        <v>2</v>
      </c>
      <c r="B13" s="210" t="s">
        <v>256</v>
      </c>
      <c r="C13" s="406">
        <f>C14+C15</f>
        <v>40000</v>
      </c>
      <c r="D13" s="211"/>
      <c r="E13" s="338">
        <f>E14+E15</f>
        <v>82419</v>
      </c>
      <c r="F13" s="212">
        <f t="shared" si="2"/>
        <v>42419</v>
      </c>
      <c r="G13" s="213">
        <f t="shared" ref="G13:Q13" si="3">G14+G15</f>
        <v>80592</v>
      </c>
      <c r="H13" s="213">
        <f t="shared" si="3"/>
        <v>0</v>
      </c>
      <c r="I13" s="213">
        <f t="shared" si="3"/>
        <v>0</v>
      </c>
      <c r="J13" s="213">
        <f t="shared" si="3"/>
        <v>0</v>
      </c>
      <c r="K13" s="213">
        <f t="shared" si="3"/>
        <v>0</v>
      </c>
      <c r="L13" s="213">
        <f>L14+L15</f>
        <v>0</v>
      </c>
      <c r="M13" s="213">
        <f t="shared" si="3"/>
        <v>0</v>
      </c>
      <c r="N13" s="213">
        <f t="shared" si="3"/>
        <v>0</v>
      </c>
      <c r="O13" s="213">
        <f t="shared" si="3"/>
        <v>0</v>
      </c>
      <c r="P13" s="213">
        <f t="shared" si="3"/>
        <v>0</v>
      </c>
      <c r="Q13" s="213">
        <f t="shared" si="3"/>
        <v>80592</v>
      </c>
      <c r="R13" s="213">
        <f>R14+R15</f>
        <v>1827</v>
      </c>
      <c r="S13" s="433" t="s">
        <v>828</v>
      </c>
    </row>
    <row r="14" spans="1:19" s="183" customFormat="1" ht="17.25" customHeight="1">
      <c r="A14" s="214" t="s">
        <v>257</v>
      </c>
      <c r="B14" s="210" t="s">
        <v>258</v>
      </c>
      <c r="C14" s="406">
        <v>38000</v>
      </c>
      <c r="D14" s="211"/>
      <c r="E14" s="338">
        <f>G14+R14</f>
        <v>76900</v>
      </c>
      <c r="F14" s="212">
        <f t="shared" si="2"/>
        <v>38900</v>
      </c>
      <c r="G14" s="213">
        <f>H14+P14+Q14</f>
        <v>76900</v>
      </c>
      <c r="H14" s="213">
        <f>J14+M14</f>
        <v>0</v>
      </c>
      <c r="I14" s="213"/>
      <c r="J14" s="213">
        <f t="shared" ref="J14:J56" si="4">K14+L14</f>
        <v>0</v>
      </c>
      <c r="K14" s="213"/>
      <c r="L14" s="213"/>
      <c r="M14" s="213">
        <f>N14+O14</f>
        <v>0</v>
      </c>
      <c r="N14" s="213"/>
      <c r="O14" s="213"/>
      <c r="P14" s="213"/>
      <c r="Q14" s="213">
        <v>76900</v>
      </c>
      <c r="R14" s="213"/>
      <c r="S14" s="433" t="s">
        <v>828</v>
      </c>
    </row>
    <row r="15" spans="1:19" s="183" customFormat="1" ht="32.25" customHeight="1">
      <c r="A15" s="214" t="s">
        <v>257</v>
      </c>
      <c r="B15" s="215" t="s">
        <v>259</v>
      </c>
      <c r="C15" s="406">
        <f>SUM(C16:C21)</f>
        <v>2000</v>
      </c>
      <c r="D15" s="211"/>
      <c r="E15" s="338">
        <f>SUM(E16:E21)</f>
        <v>5519</v>
      </c>
      <c r="F15" s="212">
        <f t="shared" si="2"/>
        <v>3519</v>
      </c>
      <c r="G15" s="213">
        <f>SUM(G16:G21)</f>
        <v>3692</v>
      </c>
      <c r="H15" s="213">
        <f>SUM(H16:H21)</f>
        <v>0</v>
      </c>
      <c r="I15" s="213">
        <f>SUM(I16:I21)</f>
        <v>0</v>
      </c>
      <c r="J15" s="213">
        <f>SUM(J16:J21)</f>
        <v>0</v>
      </c>
      <c r="K15" s="213">
        <f>SUM(K16:K21)</f>
        <v>0</v>
      </c>
      <c r="L15" s="213"/>
      <c r="M15" s="213">
        <f t="shared" ref="M15:R15" si="5">SUM(M16:M21)</f>
        <v>0</v>
      </c>
      <c r="N15" s="213">
        <f t="shared" si="5"/>
        <v>0</v>
      </c>
      <c r="O15" s="213">
        <f t="shared" si="5"/>
        <v>0</v>
      </c>
      <c r="P15" s="213">
        <f t="shared" si="5"/>
        <v>0</v>
      </c>
      <c r="Q15" s="213">
        <f>SUM(Q16:Q21)</f>
        <v>3692</v>
      </c>
      <c r="R15" s="213">
        <f t="shared" si="5"/>
        <v>1827</v>
      </c>
      <c r="S15" s="216"/>
    </row>
    <row r="16" spans="1:19" s="183" customFormat="1" ht="17.25" customHeight="1">
      <c r="A16" s="214" t="s">
        <v>111</v>
      </c>
      <c r="B16" s="215" t="s">
        <v>558</v>
      </c>
      <c r="C16" s="406">
        <v>360</v>
      </c>
      <c r="D16" s="211"/>
      <c r="E16" s="338">
        <f t="shared" ref="E16:E24" si="6">G16+R16</f>
        <v>988</v>
      </c>
      <c r="F16" s="212">
        <f t="shared" si="2"/>
        <v>628</v>
      </c>
      <c r="G16" s="213">
        <f>H16+P16+Q16</f>
        <v>759</v>
      </c>
      <c r="H16" s="213"/>
      <c r="I16" s="213"/>
      <c r="J16" s="213"/>
      <c r="K16" s="213"/>
      <c r="L16" s="213"/>
      <c r="M16" s="213"/>
      <c r="N16" s="213"/>
      <c r="O16" s="213"/>
      <c r="P16" s="213"/>
      <c r="Q16" s="213">
        <v>759</v>
      </c>
      <c r="R16" s="213">
        <v>229</v>
      </c>
      <c r="S16" s="406"/>
    </row>
    <row r="17" spans="1:19" s="183" customFormat="1" ht="17.25" customHeight="1">
      <c r="A17" s="214" t="s">
        <v>111</v>
      </c>
      <c r="B17" s="210" t="s">
        <v>750</v>
      </c>
      <c r="C17" s="406"/>
      <c r="D17" s="211"/>
      <c r="E17" s="338">
        <f>G17+R17</f>
        <v>1322</v>
      </c>
      <c r="F17" s="212">
        <f t="shared" si="2"/>
        <v>1322</v>
      </c>
      <c r="G17" s="213">
        <f>H17+P17+Q17</f>
        <v>322</v>
      </c>
      <c r="H17" s="213"/>
      <c r="I17" s="213"/>
      <c r="J17" s="213"/>
      <c r="K17" s="213"/>
      <c r="L17" s="213"/>
      <c r="M17" s="213"/>
      <c r="N17" s="213"/>
      <c r="O17" s="213"/>
      <c r="P17" s="213"/>
      <c r="Q17" s="213">
        <v>322</v>
      </c>
      <c r="R17" s="213">
        <v>1000</v>
      </c>
      <c r="S17" s="406" t="s">
        <v>557</v>
      </c>
    </row>
    <row r="18" spans="1:19" s="183" customFormat="1" ht="17.25" customHeight="1">
      <c r="A18" s="214" t="s">
        <v>111</v>
      </c>
      <c r="B18" s="215" t="s">
        <v>684</v>
      </c>
      <c r="C18" s="406">
        <v>640</v>
      </c>
      <c r="D18" s="211"/>
      <c r="E18" s="338">
        <f t="shared" si="6"/>
        <v>190</v>
      </c>
      <c r="F18" s="212">
        <f t="shared" si="2"/>
        <v>-450</v>
      </c>
      <c r="G18" s="213">
        <f>H18+P18+Q18</f>
        <v>190</v>
      </c>
      <c r="H18" s="213">
        <f t="shared" ref="H18:H24" si="7">J18+M18</f>
        <v>0</v>
      </c>
      <c r="I18" s="213"/>
      <c r="J18" s="213">
        <f>K18+L18</f>
        <v>0</v>
      </c>
      <c r="K18" s="213"/>
      <c r="L18" s="213"/>
      <c r="M18" s="213">
        <f t="shared" ref="M18:M24" si="8">N18+O18</f>
        <v>0</v>
      </c>
      <c r="N18" s="213"/>
      <c r="O18" s="213"/>
      <c r="P18" s="213"/>
      <c r="Q18" s="213">
        <f>40+150</f>
        <v>190</v>
      </c>
      <c r="R18" s="213"/>
      <c r="S18" s="406" t="s">
        <v>557</v>
      </c>
    </row>
    <row r="19" spans="1:19" s="183" customFormat="1" ht="17.25" hidden="1" customHeight="1">
      <c r="A19" s="214" t="s">
        <v>111</v>
      </c>
      <c r="B19" s="215" t="s">
        <v>705</v>
      </c>
      <c r="C19" s="406"/>
      <c r="D19" s="211"/>
      <c r="E19" s="338">
        <f t="shared" si="6"/>
        <v>0</v>
      </c>
      <c r="F19" s="212">
        <f t="shared" si="2"/>
        <v>0</v>
      </c>
      <c r="G19" s="213">
        <f t="shared" ref="G19:G20" si="9">H19+P19+Q19</f>
        <v>0</v>
      </c>
      <c r="H19" s="213">
        <f t="shared" si="7"/>
        <v>0</v>
      </c>
      <c r="I19" s="213"/>
      <c r="J19" s="213"/>
      <c r="K19" s="213"/>
      <c r="L19" s="213"/>
      <c r="M19" s="213">
        <f t="shared" si="8"/>
        <v>0</v>
      </c>
      <c r="N19" s="213"/>
      <c r="O19" s="213"/>
      <c r="P19" s="213"/>
      <c r="Q19" s="213">
        <v>0</v>
      </c>
      <c r="R19" s="213"/>
      <c r="S19" s="406" t="s">
        <v>557</v>
      </c>
    </row>
    <row r="20" spans="1:19" s="183" customFormat="1" ht="16.5" customHeight="1">
      <c r="A20" s="214" t="s">
        <v>111</v>
      </c>
      <c r="B20" s="215" t="s">
        <v>685</v>
      </c>
      <c r="C20" s="406">
        <v>1000</v>
      </c>
      <c r="D20" s="211"/>
      <c r="E20" s="338">
        <f t="shared" si="6"/>
        <v>598</v>
      </c>
      <c r="F20" s="212">
        <f t="shared" si="2"/>
        <v>-402</v>
      </c>
      <c r="G20" s="213">
        <f t="shared" si="9"/>
        <v>0</v>
      </c>
      <c r="H20" s="213">
        <f t="shared" si="7"/>
        <v>0</v>
      </c>
      <c r="I20" s="213"/>
      <c r="J20" s="213"/>
      <c r="K20" s="213"/>
      <c r="L20" s="213"/>
      <c r="M20" s="213">
        <f t="shared" si="8"/>
        <v>0</v>
      </c>
      <c r="N20" s="213"/>
      <c r="O20" s="213"/>
      <c r="P20" s="213"/>
      <c r="Q20" s="213"/>
      <c r="R20" s="213">
        <v>598</v>
      </c>
      <c r="S20" s="406" t="s">
        <v>557</v>
      </c>
    </row>
    <row r="21" spans="1:19" s="183" customFormat="1" ht="47.25" customHeight="1">
      <c r="A21" s="214" t="s">
        <v>111</v>
      </c>
      <c r="B21" s="215" t="s">
        <v>758</v>
      </c>
      <c r="C21" s="406"/>
      <c r="D21" s="211"/>
      <c r="E21" s="338">
        <f t="shared" si="6"/>
        <v>2421</v>
      </c>
      <c r="F21" s="212">
        <f t="shared" si="2"/>
        <v>2421</v>
      </c>
      <c r="G21" s="213">
        <f>H21+P21+Q21</f>
        <v>2421</v>
      </c>
      <c r="H21" s="213">
        <f t="shared" si="7"/>
        <v>0</v>
      </c>
      <c r="I21" s="213"/>
      <c r="J21" s="213">
        <f>K21+L21</f>
        <v>0</v>
      </c>
      <c r="K21" s="213"/>
      <c r="L21" s="213"/>
      <c r="M21" s="213">
        <f t="shared" si="8"/>
        <v>0</v>
      </c>
      <c r="N21" s="213"/>
      <c r="O21" s="213"/>
      <c r="P21" s="213"/>
      <c r="Q21" s="396">
        <v>2421</v>
      </c>
      <c r="R21" s="213"/>
      <c r="S21" s="217" t="s">
        <v>260</v>
      </c>
    </row>
    <row r="22" spans="1:19" s="183" customFormat="1" ht="37.5" customHeight="1">
      <c r="A22" s="209">
        <v>3</v>
      </c>
      <c r="B22" s="218" t="s">
        <v>261</v>
      </c>
      <c r="C22" s="406">
        <v>770</v>
      </c>
      <c r="D22" s="211"/>
      <c r="E22" s="338">
        <f t="shared" si="6"/>
        <v>770</v>
      </c>
      <c r="F22" s="212">
        <f t="shared" si="2"/>
        <v>0</v>
      </c>
      <c r="G22" s="213">
        <f t="shared" ref="G22:G24" si="10">H22+P22+Q22</f>
        <v>0</v>
      </c>
      <c r="H22" s="213">
        <f t="shared" si="7"/>
        <v>0</v>
      </c>
      <c r="I22" s="213"/>
      <c r="J22" s="213">
        <f t="shared" si="4"/>
        <v>0</v>
      </c>
      <c r="K22" s="213"/>
      <c r="L22" s="213"/>
      <c r="M22" s="213">
        <f t="shared" si="8"/>
        <v>0</v>
      </c>
      <c r="N22" s="213"/>
      <c r="O22" s="213">
        <v>0</v>
      </c>
      <c r="P22" s="213"/>
      <c r="Q22" s="213"/>
      <c r="R22" s="213">
        <v>770</v>
      </c>
      <c r="S22" s="433" t="s">
        <v>828</v>
      </c>
    </row>
    <row r="23" spans="1:19" s="183" customFormat="1" ht="18" customHeight="1">
      <c r="A23" s="209">
        <v>4</v>
      </c>
      <c r="B23" s="215" t="s">
        <v>759</v>
      </c>
      <c r="C23" s="406"/>
      <c r="D23" s="211"/>
      <c r="E23" s="338">
        <f t="shared" si="6"/>
        <v>2500</v>
      </c>
      <c r="F23" s="212">
        <f t="shared" si="2"/>
        <v>2500</v>
      </c>
      <c r="G23" s="213">
        <f t="shared" si="10"/>
        <v>0</v>
      </c>
      <c r="H23" s="213">
        <f t="shared" si="7"/>
        <v>0</v>
      </c>
      <c r="I23" s="213"/>
      <c r="J23" s="213">
        <f t="shared" si="4"/>
        <v>0</v>
      </c>
      <c r="K23" s="213"/>
      <c r="L23" s="213"/>
      <c r="M23" s="213">
        <f t="shared" si="8"/>
        <v>0</v>
      </c>
      <c r="N23" s="213"/>
      <c r="O23" s="213">
        <v>0</v>
      </c>
      <c r="P23" s="213"/>
      <c r="Q23" s="213"/>
      <c r="R23" s="213">
        <v>2500</v>
      </c>
      <c r="S23" s="433" t="s">
        <v>828</v>
      </c>
    </row>
    <row r="24" spans="1:19" s="183" customFormat="1" ht="18" customHeight="1">
      <c r="A24" s="209">
        <v>5</v>
      </c>
      <c r="B24" s="215" t="s">
        <v>263</v>
      </c>
      <c r="C24" s="406">
        <v>2330</v>
      </c>
      <c r="D24" s="211"/>
      <c r="E24" s="338">
        <f t="shared" si="6"/>
        <v>2330</v>
      </c>
      <c r="F24" s="212">
        <f t="shared" si="2"/>
        <v>0</v>
      </c>
      <c r="G24" s="213">
        <f t="shared" si="10"/>
        <v>0</v>
      </c>
      <c r="H24" s="213">
        <f t="shared" si="7"/>
        <v>0</v>
      </c>
      <c r="I24" s="213"/>
      <c r="J24" s="213">
        <f t="shared" si="4"/>
        <v>0</v>
      </c>
      <c r="K24" s="213"/>
      <c r="L24" s="213"/>
      <c r="M24" s="213">
        <f t="shared" si="8"/>
        <v>0</v>
      </c>
      <c r="N24" s="213"/>
      <c r="O24" s="213">
        <v>0</v>
      </c>
      <c r="P24" s="213"/>
      <c r="Q24" s="213"/>
      <c r="R24" s="213">
        <v>2330</v>
      </c>
      <c r="S24" s="433" t="s">
        <v>828</v>
      </c>
    </row>
    <row r="25" spans="1:19" s="183" customFormat="1" ht="21.75" customHeight="1">
      <c r="A25" s="209" t="s">
        <v>70</v>
      </c>
      <c r="B25" s="210" t="s">
        <v>265</v>
      </c>
      <c r="C25" s="406">
        <f>C26+C61+C64+C81</f>
        <v>249185.15900000001</v>
      </c>
      <c r="D25" s="211"/>
      <c r="E25" s="338">
        <f>E26+E61+E64+E81</f>
        <v>276821.97002000001</v>
      </c>
      <c r="F25" s="212">
        <f t="shared" si="2"/>
        <v>27636.811019999994</v>
      </c>
      <c r="G25" s="213">
        <f t="shared" ref="G25:R25" si="11">G26+G61+G64+G81</f>
        <v>276201.97002000001</v>
      </c>
      <c r="H25" s="213">
        <f t="shared" si="11"/>
        <v>216742.80002</v>
      </c>
      <c r="I25" s="213">
        <f t="shared" si="11"/>
        <v>1177</v>
      </c>
      <c r="J25" s="213">
        <f t="shared" si="11"/>
        <v>173881.67702</v>
      </c>
      <c r="K25" s="213">
        <f t="shared" si="11"/>
        <v>0</v>
      </c>
      <c r="L25" s="213">
        <f t="shared" si="11"/>
        <v>0</v>
      </c>
      <c r="M25" s="213">
        <f t="shared" si="11"/>
        <v>42861.123</v>
      </c>
      <c r="N25" s="213">
        <f t="shared" si="11"/>
        <v>28908.73</v>
      </c>
      <c r="O25" s="213">
        <f t="shared" si="11"/>
        <v>13952.393</v>
      </c>
      <c r="P25" s="213">
        <f t="shared" si="11"/>
        <v>59459.17</v>
      </c>
      <c r="Q25" s="213">
        <f t="shared" si="11"/>
        <v>0</v>
      </c>
      <c r="R25" s="213">
        <f t="shared" si="11"/>
        <v>620</v>
      </c>
      <c r="S25" s="406"/>
    </row>
    <row r="26" spans="1:19" s="183" customFormat="1" ht="19.5" customHeight="1">
      <c r="A26" s="209">
        <v>1</v>
      </c>
      <c r="B26" s="210" t="s">
        <v>266</v>
      </c>
      <c r="C26" s="406">
        <f>C27+C43</f>
        <v>177277.25400000002</v>
      </c>
      <c r="D26" s="219"/>
      <c r="E26" s="338">
        <f t="shared" ref="E26:R26" si="12">E27+E43</f>
        <v>196470</v>
      </c>
      <c r="F26" s="212">
        <f t="shared" si="2"/>
        <v>19192.745999999985</v>
      </c>
      <c r="G26" s="213">
        <f t="shared" si="12"/>
        <v>196470</v>
      </c>
      <c r="H26" s="213">
        <f t="shared" si="12"/>
        <v>174802</v>
      </c>
      <c r="I26" s="213">
        <f t="shared" si="12"/>
        <v>1018</v>
      </c>
      <c r="J26" s="213">
        <f t="shared" si="12"/>
        <v>150039.57</v>
      </c>
      <c r="K26" s="213">
        <f t="shared" si="12"/>
        <v>0</v>
      </c>
      <c r="L26" s="213">
        <f t="shared" si="12"/>
        <v>0</v>
      </c>
      <c r="M26" s="213">
        <f t="shared" si="12"/>
        <v>24762.43</v>
      </c>
      <c r="N26" s="213">
        <f t="shared" si="12"/>
        <v>24762.43</v>
      </c>
      <c r="O26" s="213">
        <f t="shared" si="12"/>
        <v>0</v>
      </c>
      <c r="P26" s="213">
        <f t="shared" si="12"/>
        <v>21668</v>
      </c>
      <c r="Q26" s="213">
        <f t="shared" si="12"/>
        <v>0</v>
      </c>
      <c r="R26" s="213">
        <f t="shared" si="12"/>
        <v>0</v>
      </c>
      <c r="S26" s="406"/>
    </row>
    <row r="27" spans="1:19" s="183" customFormat="1" ht="19.5" customHeight="1">
      <c r="A27" s="209" t="s">
        <v>17</v>
      </c>
      <c r="B27" s="210" t="s">
        <v>267</v>
      </c>
      <c r="C27" s="406">
        <f t="shared" ref="C27:R28" si="13">C28</f>
        <v>175116.82</v>
      </c>
      <c r="D27" s="211"/>
      <c r="E27" s="338">
        <f t="shared" si="13"/>
        <v>194315.48</v>
      </c>
      <c r="F27" s="212">
        <f t="shared" si="2"/>
        <v>19198.660000000003</v>
      </c>
      <c r="G27" s="213">
        <f t="shared" si="13"/>
        <v>194315.48</v>
      </c>
      <c r="H27" s="213">
        <f t="shared" si="13"/>
        <v>173320.63</v>
      </c>
      <c r="I27" s="213">
        <f t="shared" si="13"/>
        <v>1007</v>
      </c>
      <c r="J27" s="213">
        <f t="shared" si="13"/>
        <v>148756.20000000001</v>
      </c>
      <c r="K27" s="213">
        <f t="shared" si="13"/>
        <v>0</v>
      </c>
      <c r="L27" s="213">
        <f t="shared" si="13"/>
        <v>0</v>
      </c>
      <c r="M27" s="213">
        <f t="shared" si="13"/>
        <v>24564.43</v>
      </c>
      <c r="N27" s="213">
        <f t="shared" si="13"/>
        <v>24564.43</v>
      </c>
      <c r="O27" s="213">
        <f t="shared" si="13"/>
        <v>0</v>
      </c>
      <c r="P27" s="213">
        <f t="shared" si="13"/>
        <v>20994.85</v>
      </c>
      <c r="Q27" s="213">
        <f t="shared" si="13"/>
        <v>0</v>
      </c>
      <c r="R27" s="213">
        <f>R28</f>
        <v>0</v>
      </c>
      <c r="S27" s="406"/>
    </row>
    <row r="28" spans="1:19" s="183" customFormat="1" ht="19.5" customHeight="1">
      <c r="A28" s="209" t="s">
        <v>204</v>
      </c>
      <c r="B28" s="210" t="s">
        <v>268</v>
      </c>
      <c r="C28" s="406">
        <f>C29</f>
        <v>175116.82</v>
      </c>
      <c r="D28" s="211"/>
      <c r="E28" s="338">
        <f>E29</f>
        <v>194315.48</v>
      </c>
      <c r="F28" s="212">
        <f t="shared" si="2"/>
        <v>19198.660000000003</v>
      </c>
      <c r="G28" s="406">
        <f t="shared" si="13"/>
        <v>194315.48</v>
      </c>
      <c r="H28" s="406">
        <f t="shared" si="13"/>
        <v>173320.63</v>
      </c>
      <c r="I28" s="406">
        <f t="shared" si="13"/>
        <v>1007</v>
      </c>
      <c r="J28" s="406">
        <f t="shared" si="13"/>
        <v>148756.20000000001</v>
      </c>
      <c r="K28" s="406">
        <f t="shared" si="13"/>
        <v>0</v>
      </c>
      <c r="L28" s="406">
        <f t="shared" si="13"/>
        <v>0</v>
      </c>
      <c r="M28" s="406">
        <f t="shared" si="13"/>
        <v>24564.43</v>
      </c>
      <c r="N28" s="406">
        <f t="shared" si="13"/>
        <v>24564.43</v>
      </c>
      <c r="O28" s="406">
        <f t="shared" si="13"/>
        <v>0</v>
      </c>
      <c r="P28" s="406">
        <f t="shared" si="13"/>
        <v>20994.85</v>
      </c>
      <c r="Q28" s="406">
        <f t="shared" si="13"/>
        <v>0</v>
      </c>
      <c r="R28" s="406">
        <f t="shared" si="13"/>
        <v>0</v>
      </c>
      <c r="S28" s="406"/>
    </row>
    <row r="29" spans="1:19" s="183" customFormat="1" ht="19.5" customHeight="1">
      <c r="A29" s="209" t="s">
        <v>269</v>
      </c>
      <c r="B29" s="210" t="s">
        <v>270</v>
      </c>
      <c r="C29" s="406">
        <f>SUM(C30:C34)</f>
        <v>175116.82</v>
      </c>
      <c r="D29" s="211"/>
      <c r="E29" s="338">
        <f>SUM(E30:E33)</f>
        <v>194315.48</v>
      </c>
      <c r="F29" s="212">
        <f t="shared" si="2"/>
        <v>19198.660000000003</v>
      </c>
      <c r="G29" s="406">
        <f t="shared" ref="G29:R29" si="14">SUM(G30:G33)</f>
        <v>194315.48</v>
      </c>
      <c r="H29" s="406">
        <f t="shared" si="14"/>
        <v>173320.63</v>
      </c>
      <c r="I29" s="406">
        <f t="shared" si="14"/>
        <v>1007</v>
      </c>
      <c r="J29" s="406">
        <f t="shared" si="14"/>
        <v>148756.20000000001</v>
      </c>
      <c r="K29" s="406">
        <f t="shared" si="14"/>
        <v>0</v>
      </c>
      <c r="L29" s="406">
        <f t="shared" si="14"/>
        <v>0</v>
      </c>
      <c r="M29" s="406">
        <f t="shared" si="14"/>
        <v>24564.43</v>
      </c>
      <c r="N29" s="406">
        <f t="shared" si="14"/>
        <v>24564.43</v>
      </c>
      <c r="O29" s="406">
        <f t="shared" si="14"/>
        <v>0</v>
      </c>
      <c r="P29" s="406">
        <f t="shared" si="14"/>
        <v>20994.85</v>
      </c>
      <c r="Q29" s="406">
        <f t="shared" si="14"/>
        <v>0</v>
      </c>
      <c r="R29" s="406">
        <f t="shared" si="14"/>
        <v>0</v>
      </c>
      <c r="S29" s="406" t="s">
        <v>271</v>
      </c>
    </row>
    <row r="30" spans="1:19" s="183" customFormat="1" ht="33.75" customHeight="1">
      <c r="A30" s="214" t="s">
        <v>257</v>
      </c>
      <c r="B30" s="215" t="s">
        <v>272</v>
      </c>
      <c r="C30" s="406">
        <f>156867.82+10337-(3675+5679)</f>
        <v>157850.82</v>
      </c>
      <c r="D30" s="211"/>
      <c r="E30" s="338">
        <f>G30+R30</f>
        <v>173320.63</v>
      </c>
      <c r="F30" s="212">
        <f t="shared" si="2"/>
        <v>15469.809999999998</v>
      </c>
      <c r="G30" s="213">
        <f>H30+P30+Q30</f>
        <v>173320.63</v>
      </c>
      <c r="H30" s="213">
        <f>J30+M30</f>
        <v>173320.63</v>
      </c>
      <c r="I30" s="213">
        <v>1007</v>
      </c>
      <c r="J30" s="213">
        <v>148756.20000000001</v>
      </c>
      <c r="K30" s="213"/>
      <c r="L30" s="213"/>
      <c r="M30" s="213">
        <f>N30+O30</f>
        <v>24564.43</v>
      </c>
      <c r="N30" s="213">
        <v>24564.43</v>
      </c>
      <c r="O30" s="213"/>
      <c r="P30" s="213"/>
      <c r="Q30" s="213"/>
      <c r="R30" s="213">
        <v>0</v>
      </c>
      <c r="S30" s="406"/>
    </row>
    <row r="31" spans="1:19" s="183" customFormat="1" ht="27.75" customHeight="1">
      <c r="A31" s="214" t="s">
        <v>257</v>
      </c>
      <c r="B31" s="215" t="s">
        <v>667</v>
      </c>
      <c r="C31" s="406"/>
      <c r="D31" s="211"/>
      <c r="E31" s="338">
        <f>G31+R31</f>
        <v>2524</v>
      </c>
      <c r="F31" s="212">
        <f t="shared" si="2"/>
        <v>2524</v>
      </c>
      <c r="G31" s="213">
        <f>H31+P31+Q31</f>
        <v>2524</v>
      </c>
      <c r="H31" s="213">
        <f>J31+M31</f>
        <v>0</v>
      </c>
      <c r="I31" s="213"/>
      <c r="J31" s="213">
        <f>K31+L31</f>
        <v>0</v>
      </c>
      <c r="K31" s="213"/>
      <c r="L31" s="213"/>
      <c r="M31" s="213">
        <f>N31+O31</f>
        <v>0</v>
      </c>
      <c r="N31" s="213"/>
      <c r="O31" s="213"/>
      <c r="P31" s="213">
        <v>2524</v>
      </c>
      <c r="Q31" s="213"/>
      <c r="R31" s="213"/>
      <c r="S31" s="406"/>
    </row>
    <row r="32" spans="1:19" s="183" customFormat="1" ht="33.75" customHeight="1">
      <c r="A32" s="214" t="s">
        <v>257</v>
      </c>
      <c r="B32" s="220" t="s">
        <v>275</v>
      </c>
      <c r="C32" s="406">
        <v>824</v>
      </c>
      <c r="D32" s="211"/>
      <c r="E32" s="338">
        <f>G32+R32</f>
        <v>2476</v>
      </c>
      <c r="F32" s="212">
        <f t="shared" si="2"/>
        <v>1652</v>
      </c>
      <c r="G32" s="213">
        <f>H32+P32+Q32</f>
        <v>2476</v>
      </c>
      <c r="H32" s="213">
        <f>J32+M32</f>
        <v>0</v>
      </c>
      <c r="I32" s="213"/>
      <c r="J32" s="213">
        <f t="shared" ref="J32" si="15">K32+L32</f>
        <v>0</v>
      </c>
      <c r="K32" s="213"/>
      <c r="L32" s="213"/>
      <c r="M32" s="213">
        <f>N32+O32</f>
        <v>0</v>
      </c>
      <c r="N32" s="213"/>
      <c r="O32" s="213">
        <v>0</v>
      </c>
      <c r="P32" s="213">
        <v>2476</v>
      </c>
      <c r="Q32" s="213"/>
      <c r="R32" s="213"/>
      <c r="S32" s="406"/>
    </row>
    <row r="33" spans="1:19" s="183" customFormat="1" ht="27.75" customHeight="1">
      <c r="A33" s="214" t="s">
        <v>257</v>
      </c>
      <c r="B33" s="215" t="s">
        <v>755</v>
      </c>
      <c r="C33" s="406">
        <f>SUM(C34:C38)</f>
        <v>10723</v>
      </c>
      <c r="D33" s="211"/>
      <c r="E33" s="338">
        <f t="shared" ref="E33:R33" si="16">SUM(E34:E38)</f>
        <v>15994.85</v>
      </c>
      <c r="F33" s="212">
        <f t="shared" si="2"/>
        <v>5271.85</v>
      </c>
      <c r="G33" s="406">
        <f t="shared" si="16"/>
        <v>15994.85</v>
      </c>
      <c r="H33" s="406">
        <f t="shared" si="16"/>
        <v>0</v>
      </c>
      <c r="I33" s="406">
        <f t="shared" si="16"/>
        <v>0</v>
      </c>
      <c r="J33" s="406">
        <f t="shared" si="16"/>
        <v>0</v>
      </c>
      <c r="K33" s="406">
        <f t="shared" si="16"/>
        <v>0</v>
      </c>
      <c r="L33" s="406">
        <f t="shared" si="16"/>
        <v>0</v>
      </c>
      <c r="M33" s="406">
        <f t="shared" si="16"/>
        <v>0</v>
      </c>
      <c r="N33" s="406">
        <f t="shared" si="16"/>
        <v>0</v>
      </c>
      <c r="O33" s="406">
        <f t="shared" si="16"/>
        <v>0</v>
      </c>
      <c r="P33" s="406">
        <f t="shared" si="16"/>
        <v>15994.85</v>
      </c>
      <c r="Q33" s="406">
        <f t="shared" si="16"/>
        <v>0</v>
      </c>
      <c r="R33" s="406">
        <f t="shared" si="16"/>
        <v>0</v>
      </c>
      <c r="S33" s="406"/>
    </row>
    <row r="34" spans="1:19" s="183" customFormat="1" ht="23.25" customHeight="1">
      <c r="A34" s="214" t="s">
        <v>111</v>
      </c>
      <c r="B34" s="215" t="s">
        <v>273</v>
      </c>
      <c r="C34" s="406">
        <f>3675+2044</f>
        <v>5719</v>
      </c>
      <c r="D34" s="211"/>
      <c r="E34" s="338">
        <f>G34+R34</f>
        <v>6100</v>
      </c>
      <c r="F34" s="212">
        <f t="shared" si="2"/>
        <v>381</v>
      </c>
      <c r="G34" s="213">
        <f>H34+P34+Q34</f>
        <v>6100</v>
      </c>
      <c r="H34" s="213">
        <f>J34+M34</f>
        <v>0</v>
      </c>
      <c r="I34" s="213"/>
      <c r="J34" s="213">
        <f t="shared" si="4"/>
        <v>0</v>
      </c>
      <c r="K34" s="213"/>
      <c r="L34" s="213"/>
      <c r="M34" s="213">
        <f>N34+O34</f>
        <v>0</v>
      </c>
      <c r="N34" s="213"/>
      <c r="O34" s="213"/>
      <c r="P34" s="213">
        <v>6100</v>
      </c>
      <c r="Q34" s="213"/>
      <c r="R34" s="213"/>
      <c r="S34" s="406"/>
    </row>
    <row r="35" spans="1:19" s="183" customFormat="1" ht="36.75" customHeight="1">
      <c r="A35" s="214" t="s">
        <v>111</v>
      </c>
      <c r="B35" s="221" t="s">
        <v>276</v>
      </c>
      <c r="C35" s="337">
        <f>400+720</f>
        <v>1120</v>
      </c>
      <c r="D35" s="211"/>
      <c r="E35" s="338">
        <f>G35+R35</f>
        <v>3890</v>
      </c>
      <c r="F35" s="212">
        <f t="shared" si="2"/>
        <v>2770</v>
      </c>
      <c r="G35" s="213">
        <f>H35+P35+Q35</f>
        <v>3890</v>
      </c>
      <c r="H35" s="213">
        <f>J35+M35</f>
        <v>0</v>
      </c>
      <c r="I35" s="213"/>
      <c r="J35" s="213">
        <f t="shared" si="4"/>
        <v>0</v>
      </c>
      <c r="K35" s="213"/>
      <c r="L35" s="213"/>
      <c r="M35" s="213">
        <f>N35+O35</f>
        <v>0</v>
      </c>
      <c r="N35" s="213"/>
      <c r="O35" s="213"/>
      <c r="P35" s="213">
        <f>3890</f>
        <v>3890</v>
      </c>
      <c r="Q35" s="213"/>
      <c r="R35" s="213"/>
      <c r="S35" s="612"/>
    </row>
    <row r="36" spans="1:19" s="183" customFormat="1" ht="33.75" customHeight="1">
      <c r="A36" s="214" t="s">
        <v>111</v>
      </c>
      <c r="B36" s="221" t="s">
        <v>277</v>
      </c>
      <c r="C36" s="406">
        <f>700+423</f>
        <v>1123</v>
      </c>
      <c r="D36" s="211"/>
      <c r="E36" s="338">
        <f>G36+R36</f>
        <v>700</v>
      </c>
      <c r="F36" s="212">
        <f t="shared" si="2"/>
        <v>-423</v>
      </c>
      <c r="G36" s="213">
        <f>H36+P36+Q36</f>
        <v>700</v>
      </c>
      <c r="H36" s="213">
        <f>J36+M36</f>
        <v>0</v>
      </c>
      <c r="I36" s="213"/>
      <c r="J36" s="213">
        <f t="shared" si="4"/>
        <v>0</v>
      </c>
      <c r="K36" s="213"/>
      <c r="L36" s="213"/>
      <c r="M36" s="213">
        <f>N36+O36</f>
        <v>0</v>
      </c>
      <c r="N36" s="213"/>
      <c r="O36" s="213"/>
      <c r="P36" s="213">
        <v>700</v>
      </c>
      <c r="Q36" s="213"/>
      <c r="R36" s="213"/>
      <c r="S36" s="612"/>
    </row>
    <row r="37" spans="1:19" s="183" customFormat="1" ht="48.75" customHeight="1">
      <c r="A37" s="214" t="s">
        <v>111</v>
      </c>
      <c r="B37" s="215" t="s">
        <v>278</v>
      </c>
      <c r="C37" s="406">
        <f>228</f>
        <v>228</v>
      </c>
      <c r="D37" s="211"/>
      <c r="E37" s="338">
        <f t="shared" ref="E37:E42" si="17">G37+R37</f>
        <v>1385</v>
      </c>
      <c r="F37" s="212">
        <f t="shared" si="2"/>
        <v>1157</v>
      </c>
      <c r="G37" s="213">
        <f>H37+P37+Q37</f>
        <v>1385</v>
      </c>
      <c r="H37" s="213">
        <f>J37+M37</f>
        <v>0</v>
      </c>
      <c r="I37" s="213"/>
      <c r="J37" s="213">
        <f t="shared" si="4"/>
        <v>0</v>
      </c>
      <c r="K37" s="213"/>
      <c r="L37" s="213"/>
      <c r="M37" s="213">
        <f>N37+O37</f>
        <v>0</v>
      </c>
      <c r="N37" s="213"/>
      <c r="O37" s="213">
        <v>0</v>
      </c>
      <c r="P37" s="213">
        <f>790+595</f>
        <v>1385</v>
      </c>
      <c r="Q37" s="213"/>
      <c r="R37" s="213"/>
      <c r="S37" s="612"/>
    </row>
    <row r="38" spans="1:19" s="183" customFormat="1" ht="15.75" customHeight="1">
      <c r="A38" s="214" t="s">
        <v>111</v>
      </c>
      <c r="B38" s="210" t="s">
        <v>799</v>
      </c>
      <c r="C38" s="406">
        <f t="shared" ref="C38:R38" si="18">C39+C40+C41</f>
        <v>2533</v>
      </c>
      <c r="D38" s="211">
        <f t="shared" si="18"/>
        <v>0</v>
      </c>
      <c r="E38" s="338">
        <f>G38+R38</f>
        <v>3919.85</v>
      </c>
      <c r="F38" s="212">
        <f t="shared" si="2"/>
        <v>1386.85</v>
      </c>
      <c r="G38" s="213">
        <f>G39+G40+G41</f>
        <v>3919.85</v>
      </c>
      <c r="H38" s="213">
        <f t="shared" si="18"/>
        <v>0</v>
      </c>
      <c r="I38" s="213">
        <f t="shared" si="18"/>
        <v>0</v>
      </c>
      <c r="J38" s="213">
        <f t="shared" si="18"/>
        <v>0</v>
      </c>
      <c r="K38" s="213">
        <f t="shared" si="18"/>
        <v>0</v>
      </c>
      <c r="L38" s="213"/>
      <c r="M38" s="213">
        <f t="shared" si="18"/>
        <v>0</v>
      </c>
      <c r="N38" s="213">
        <f t="shared" si="18"/>
        <v>0</v>
      </c>
      <c r="O38" s="213">
        <f t="shared" si="18"/>
        <v>0</v>
      </c>
      <c r="P38" s="213">
        <f t="shared" si="18"/>
        <v>3919.85</v>
      </c>
      <c r="Q38" s="213">
        <f t="shared" si="18"/>
        <v>0</v>
      </c>
      <c r="R38" s="213">
        <f t="shared" si="18"/>
        <v>0</v>
      </c>
      <c r="S38" s="406"/>
    </row>
    <row r="39" spans="1:19" s="183" customFormat="1" ht="21.75" customHeight="1">
      <c r="A39" s="214" t="s">
        <v>279</v>
      </c>
      <c r="B39" s="210" t="s">
        <v>280</v>
      </c>
      <c r="C39" s="406">
        <f>2533</f>
        <v>2533</v>
      </c>
      <c r="D39" s="211"/>
      <c r="E39" s="338">
        <f t="shared" si="17"/>
        <v>688.85</v>
      </c>
      <c r="F39" s="212">
        <f t="shared" si="2"/>
        <v>-1844.15</v>
      </c>
      <c r="G39" s="213">
        <f>H39+P39+Q39</f>
        <v>688.85</v>
      </c>
      <c r="H39" s="213">
        <f>J39+M39</f>
        <v>0</v>
      </c>
      <c r="I39" s="213"/>
      <c r="J39" s="213">
        <f t="shared" si="4"/>
        <v>0</v>
      </c>
      <c r="K39" s="213"/>
      <c r="L39" s="213"/>
      <c r="M39" s="213">
        <f>N39+O39</f>
        <v>0</v>
      </c>
      <c r="N39" s="213"/>
      <c r="O39" s="213">
        <v>0</v>
      </c>
      <c r="P39" s="213">
        <f>794.7-14.85-91</f>
        <v>688.85</v>
      </c>
      <c r="Q39" s="213"/>
      <c r="R39" s="406"/>
      <c r="S39" s="406" t="s">
        <v>268</v>
      </c>
    </row>
    <row r="40" spans="1:19" s="183" customFormat="1" ht="31.5" customHeight="1">
      <c r="A40" s="214" t="s">
        <v>279</v>
      </c>
      <c r="B40" s="222" t="s">
        <v>800</v>
      </c>
      <c r="C40" s="406"/>
      <c r="D40" s="211"/>
      <c r="E40" s="338">
        <f t="shared" si="17"/>
        <v>91</v>
      </c>
      <c r="F40" s="212">
        <f t="shared" si="2"/>
        <v>91</v>
      </c>
      <c r="G40" s="213">
        <f>H40+P40+Q40</f>
        <v>91</v>
      </c>
      <c r="H40" s="213">
        <f>J40+M40</f>
        <v>0</v>
      </c>
      <c r="I40" s="213"/>
      <c r="J40" s="213">
        <f>K40+L40</f>
        <v>0</v>
      </c>
      <c r="K40" s="213"/>
      <c r="L40" s="213"/>
      <c r="M40" s="213">
        <f>N40+O40</f>
        <v>0</v>
      </c>
      <c r="N40" s="213"/>
      <c r="O40" s="213">
        <v>0</v>
      </c>
      <c r="P40" s="213">
        <v>91</v>
      </c>
      <c r="Q40" s="213"/>
      <c r="R40" s="213"/>
      <c r="S40" s="406" t="s">
        <v>281</v>
      </c>
    </row>
    <row r="41" spans="1:19" s="183" customFormat="1" ht="21.75" customHeight="1">
      <c r="A41" s="214" t="s">
        <v>279</v>
      </c>
      <c r="B41" s="210" t="s">
        <v>282</v>
      </c>
      <c r="C41" s="406"/>
      <c r="D41" s="211"/>
      <c r="E41" s="338">
        <f t="shared" si="17"/>
        <v>3140</v>
      </c>
      <c r="F41" s="212">
        <f t="shared" si="2"/>
        <v>3140</v>
      </c>
      <c r="G41" s="213">
        <f>H41+P41+Q41</f>
        <v>3140</v>
      </c>
      <c r="H41" s="213">
        <f>J41+M41</f>
        <v>0</v>
      </c>
      <c r="I41" s="213"/>
      <c r="J41" s="213">
        <f t="shared" si="4"/>
        <v>0</v>
      </c>
      <c r="K41" s="213"/>
      <c r="L41" s="213"/>
      <c r="M41" s="213">
        <f>N41+O41</f>
        <v>0</v>
      </c>
      <c r="N41" s="213"/>
      <c r="O41" s="213">
        <v>0</v>
      </c>
      <c r="P41" s="213">
        <f>3125.15+14.85</f>
        <v>3140</v>
      </c>
      <c r="Q41" s="213"/>
      <c r="R41" s="406"/>
      <c r="S41" s="406" t="s">
        <v>268</v>
      </c>
    </row>
    <row r="42" spans="1:19" s="183" customFormat="1" ht="28.5" hidden="1" customHeight="1">
      <c r="A42" s="214" t="s">
        <v>111</v>
      </c>
      <c r="B42" s="215" t="s">
        <v>283</v>
      </c>
      <c r="C42" s="406"/>
      <c r="D42" s="211"/>
      <c r="E42" s="338">
        <f t="shared" si="17"/>
        <v>0</v>
      </c>
      <c r="F42" s="212">
        <f t="shared" si="2"/>
        <v>0</v>
      </c>
      <c r="G42" s="213">
        <f>H42+P42+Q42</f>
        <v>0</v>
      </c>
      <c r="H42" s="213">
        <f>J42+M42</f>
        <v>0</v>
      </c>
      <c r="I42" s="213"/>
      <c r="J42" s="213">
        <f t="shared" si="4"/>
        <v>0</v>
      </c>
      <c r="K42" s="213"/>
      <c r="L42" s="213"/>
      <c r="M42" s="213">
        <f>N42+O42</f>
        <v>0</v>
      </c>
      <c r="N42" s="213"/>
      <c r="O42" s="213"/>
      <c r="P42" s="213"/>
      <c r="Q42" s="213"/>
      <c r="R42" s="213">
        <v>0</v>
      </c>
      <c r="S42" s="406" t="s">
        <v>281</v>
      </c>
    </row>
    <row r="43" spans="1:19" s="183" customFormat="1" ht="18" customHeight="1">
      <c r="A43" s="209" t="s">
        <v>199</v>
      </c>
      <c r="B43" s="210" t="s">
        <v>284</v>
      </c>
      <c r="C43" s="406">
        <f>C44+C54</f>
        <v>2160.4340000000002</v>
      </c>
      <c r="D43" s="211"/>
      <c r="E43" s="338">
        <f t="shared" ref="E43:R43" si="19">E44+E54</f>
        <v>2154.5200000000004</v>
      </c>
      <c r="F43" s="212">
        <f t="shared" si="2"/>
        <v>-5.9139999999997599</v>
      </c>
      <c r="G43" s="213">
        <f t="shared" si="19"/>
        <v>2154.5200000000004</v>
      </c>
      <c r="H43" s="213">
        <f t="shared" si="19"/>
        <v>1481.3700000000001</v>
      </c>
      <c r="I43" s="213">
        <f t="shared" si="19"/>
        <v>11</v>
      </c>
      <c r="J43" s="213">
        <f t="shared" si="19"/>
        <v>1283.3700000000001</v>
      </c>
      <c r="K43" s="213">
        <f t="shared" si="19"/>
        <v>0</v>
      </c>
      <c r="L43" s="213">
        <f t="shared" si="19"/>
        <v>0</v>
      </c>
      <c r="M43" s="213">
        <f t="shared" si="19"/>
        <v>198</v>
      </c>
      <c r="N43" s="213">
        <f t="shared" si="19"/>
        <v>198</v>
      </c>
      <c r="O43" s="213">
        <f t="shared" si="19"/>
        <v>0</v>
      </c>
      <c r="P43" s="213">
        <f t="shared" si="19"/>
        <v>673.15</v>
      </c>
      <c r="Q43" s="213">
        <f t="shared" si="19"/>
        <v>0</v>
      </c>
      <c r="R43" s="213">
        <f t="shared" si="19"/>
        <v>0</v>
      </c>
      <c r="S43" s="406"/>
    </row>
    <row r="44" spans="1:19" s="183" customFormat="1" ht="18" customHeight="1">
      <c r="A44" s="209" t="s">
        <v>204</v>
      </c>
      <c r="B44" s="210" t="s">
        <v>285</v>
      </c>
      <c r="C44" s="406">
        <f>SUM(C45:C51)</f>
        <v>885.54399999999998</v>
      </c>
      <c r="D44" s="211"/>
      <c r="E44" s="338">
        <f>SUM(E45:E53)</f>
        <v>802.71</v>
      </c>
      <c r="F44" s="212">
        <f t="shared" si="2"/>
        <v>-82.833999999999946</v>
      </c>
      <c r="G44" s="406">
        <f t="shared" ref="G44:R44" si="20">SUM(G45:G53)</f>
        <v>802.71</v>
      </c>
      <c r="H44" s="406">
        <f t="shared" si="20"/>
        <v>272.71000000000004</v>
      </c>
      <c r="I44" s="406">
        <f t="shared" si="20"/>
        <v>3</v>
      </c>
      <c r="J44" s="406">
        <f t="shared" si="20"/>
        <v>218.71</v>
      </c>
      <c r="K44" s="406">
        <f t="shared" si="20"/>
        <v>0</v>
      </c>
      <c r="L44" s="406">
        <f t="shared" si="20"/>
        <v>0</v>
      </c>
      <c r="M44" s="406">
        <f t="shared" si="20"/>
        <v>54</v>
      </c>
      <c r="N44" s="406">
        <f t="shared" si="20"/>
        <v>54</v>
      </c>
      <c r="O44" s="406">
        <f t="shared" si="20"/>
        <v>0</v>
      </c>
      <c r="P44" s="406">
        <f t="shared" si="20"/>
        <v>530</v>
      </c>
      <c r="Q44" s="406">
        <f t="shared" si="20"/>
        <v>0</v>
      </c>
      <c r="R44" s="406">
        <f t="shared" si="20"/>
        <v>0</v>
      </c>
      <c r="S44" s="406" t="s">
        <v>285</v>
      </c>
    </row>
    <row r="45" spans="1:19" s="183" customFormat="1" ht="16.5" customHeight="1">
      <c r="A45" s="209" t="s">
        <v>257</v>
      </c>
      <c r="B45" s="210" t="s">
        <v>548</v>
      </c>
      <c r="C45" s="406">
        <v>310.22000000000003</v>
      </c>
      <c r="D45" s="211"/>
      <c r="E45" s="338">
        <f t="shared" ref="E45:E53" si="21">G45+R45</f>
        <v>207.39</v>
      </c>
      <c r="F45" s="212">
        <f t="shared" si="2"/>
        <v>-102.83000000000004</v>
      </c>
      <c r="G45" s="213">
        <f t="shared" ref="G45:G53" si="22">H45+P45+Q45</f>
        <v>207.39</v>
      </c>
      <c r="H45" s="213">
        <f t="shared" ref="H45:H50" si="23">J45+M45</f>
        <v>207.39</v>
      </c>
      <c r="I45" s="213">
        <v>3</v>
      </c>
      <c r="J45" s="213">
        <v>207.39</v>
      </c>
      <c r="K45" s="213"/>
      <c r="L45" s="213"/>
      <c r="M45" s="213">
        <f t="shared" ref="M45:M51" si="24">N45+O45</f>
        <v>0</v>
      </c>
      <c r="N45" s="213"/>
      <c r="O45" s="213">
        <v>0</v>
      </c>
      <c r="P45" s="213"/>
      <c r="Q45" s="213"/>
      <c r="R45" s="213"/>
      <c r="S45" s="406"/>
    </row>
    <row r="46" spans="1:19" s="183" customFormat="1" ht="16.5" customHeight="1">
      <c r="A46" s="209" t="s">
        <v>257</v>
      </c>
      <c r="B46" s="210" t="s">
        <v>286</v>
      </c>
      <c r="C46" s="406">
        <v>5.3639999999999999</v>
      </c>
      <c r="D46" s="211"/>
      <c r="E46" s="338">
        <f t="shared" si="21"/>
        <v>5.36</v>
      </c>
      <c r="F46" s="212">
        <f t="shared" si="2"/>
        <v>-3.9999999999995595E-3</v>
      </c>
      <c r="G46" s="213">
        <f t="shared" si="22"/>
        <v>5.36</v>
      </c>
      <c r="H46" s="213">
        <f t="shared" si="23"/>
        <v>5.36</v>
      </c>
      <c r="I46" s="213"/>
      <c r="J46" s="213">
        <v>5.36</v>
      </c>
      <c r="K46" s="213"/>
      <c r="L46" s="213"/>
      <c r="M46" s="213">
        <f t="shared" si="24"/>
        <v>0</v>
      </c>
      <c r="N46" s="213"/>
      <c r="O46" s="213">
        <v>0</v>
      </c>
      <c r="P46" s="213"/>
      <c r="Q46" s="213"/>
      <c r="R46" s="213"/>
      <c r="S46" s="406"/>
    </row>
    <row r="47" spans="1:19" s="183" customFormat="1" ht="27.75" customHeight="1">
      <c r="A47" s="209" t="s">
        <v>257</v>
      </c>
      <c r="B47" s="215" t="s">
        <v>287</v>
      </c>
      <c r="C47" s="406">
        <v>5.96</v>
      </c>
      <c r="D47" s="211"/>
      <c r="E47" s="338">
        <f t="shared" si="21"/>
        <v>5.96</v>
      </c>
      <c r="F47" s="212">
        <f t="shared" si="2"/>
        <v>0</v>
      </c>
      <c r="G47" s="213">
        <f t="shared" si="22"/>
        <v>5.96</v>
      </c>
      <c r="H47" s="213">
        <f t="shared" si="23"/>
        <v>5.96</v>
      </c>
      <c r="I47" s="213">
        <v>0</v>
      </c>
      <c r="J47" s="213">
        <v>5.96</v>
      </c>
      <c r="K47" s="213"/>
      <c r="L47" s="213"/>
      <c r="M47" s="213">
        <f t="shared" si="24"/>
        <v>0</v>
      </c>
      <c r="N47" s="213"/>
      <c r="O47" s="213">
        <v>0</v>
      </c>
      <c r="P47" s="213"/>
      <c r="Q47" s="213"/>
      <c r="R47" s="213"/>
      <c r="S47" s="406"/>
    </row>
    <row r="48" spans="1:19" s="183" customFormat="1" ht="16.5" customHeight="1">
      <c r="A48" s="209" t="s">
        <v>257</v>
      </c>
      <c r="B48" s="210" t="s">
        <v>654</v>
      </c>
      <c r="C48" s="406">
        <v>72</v>
      </c>
      <c r="D48" s="211"/>
      <c r="E48" s="338">
        <f t="shared" si="21"/>
        <v>54</v>
      </c>
      <c r="F48" s="212">
        <f t="shared" si="2"/>
        <v>-18</v>
      </c>
      <c r="G48" s="213">
        <f t="shared" si="22"/>
        <v>54</v>
      </c>
      <c r="H48" s="213">
        <f t="shared" si="23"/>
        <v>54</v>
      </c>
      <c r="I48" s="213"/>
      <c r="J48" s="213"/>
      <c r="K48" s="213"/>
      <c r="L48" s="213"/>
      <c r="M48" s="213">
        <f t="shared" si="24"/>
        <v>54</v>
      </c>
      <c r="N48" s="213">
        <f>18*3</f>
        <v>54</v>
      </c>
      <c r="O48" s="213">
        <v>0</v>
      </c>
      <c r="P48" s="213">
        <v>0</v>
      </c>
      <c r="Q48" s="213"/>
      <c r="R48" s="213">
        <v>0</v>
      </c>
      <c r="S48" s="406"/>
    </row>
    <row r="49" spans="1:19" s="183" customFormat="1" ht="16.5" customHeight="1">
      <c r="A49" s="209" t="s">
        <v>257</v>
      </c>
      <c r="B49" s="210" t="s">
        <v>288</v>
      </c>
      <c r="C49" s="406">
        <v>450</v>
      </c>
      <c r="D49" s="211"/>
      <c r="E49" s="338">
        <f t="shared" si="21"/>
        <v>450</v>
      </c>
      <c r="F49" s="212">
        <f t="shared" si="2"/>
        <v>0</v>
      </c>
      <c r="G49" s="213">
        <f t="shared" si="22"/>
        <v>450</v>
      </c>
      <c r="H49" s="213">
        <f t="shared" si="23"/>
        <v>0</v>
      </c>
      <c r="I49" s="213"/>
      <c r="J49" s="213"/>
      <c r="K49" s="213"/>
      <c r="L49" s="213"/>
      <c r="M49" s="213">
        <f t="shared" si="24"/>
        <v>0</v>
      </c>
      <c r="N49" s="213"/>
      <c r="O49" s="213">
        <v>0</v>
      </c>
      <c r="P49" s="213">
        <v>450</v>
      </c>
      <c r="Q49" s="213"/>
      <c r="R49" s="213"/>
      <c r="S49" s="406"/>
    </row>
    <row r="50" spans="1:19" s="183" customFormat="1" ht="16.5" customHeight="1">
      <c r="A50" s="209" t="s">
        <v>257</v>
      </c>
      <c r="B50" s="210" t="s">
        <v>689</v>
      </c>
      <c r="C50" s="406">
        <v>14</v>
      </c>
      <c r="D50" s="211"/>
      <c r="E50" s="338">
        <f t="shared" si="21"/>
        <v>0</v>
      </c>
      <c r="F50" s="212">
        <f t="shared" si="2"/>
        <v>-14</v>
      </c>
      <c r="G50" s="213">
        <f t="shared" si="22"/>
        <v>0</v>
      </c>
      <c r="H50" s="213">
        <f t="shared" si="23"/>
        <v>0</v>
      </c>
      <c r="I50" s="213"/>
      <c r="J50" s="213">
        <f>K50+L50</f>
        <v>0</v>
      </c>
      <c r="K50" s="213"/>
      <c r="L50" s="213"/>
      <c r="M50" s="213">
        <f>N50+O50</f>
        <v>0</v>
      </c>
      <c r="N50" s="213"/>
      <c r="O50" s="213">
        <v>0</v>
      </c>
      <c r="P50" s="213"/>
      <c r="Q50" s="213"/>
      <c r="R50" s="213"/>
      <c r="S50" s="406"/>
    </row>
    <row r="51" spans="1:19" s="183" customFormat="1" ht="16.5" customHeight="1">
      <c r="A51" s="209" t="s">
        <v>257</v>
      </c>
      <c r="B51" s="223" t="s">
        <v>765</v>
      </c>
      <c r="C51" s="406">
        <v>28</v>
      </c>
      <c r="D51" s="211"/>
      <c r="E51" s="338">
        <f t="shared" si="21"/>
        <v>0</v>
      </c>
      <c r="F51" s="212">
        <f t="shared" si="2"/>
        <v>-28</v>
      </c>
      <c r="G51" s="213">
        <f t="shared" si="22"/>
        <v>0</v>
      </c>
      <c r="H51" s="213">
        <f>J51+M51</f>
        <v>0</v>
      </c>
      <c r="I51" s="213"/>
      <c r="J51" s="213">
        <f t="shared" si="4"/>
        <v>0</v>
      </c>
      <c r="K51" s="213"/>
      <c r="L51" s="213"/>
      <c r="M51" s="213">
        <f t="shared" si="24"/>
        <v>0</v>
      </c>
      <c r="N51" s="213"/>
      <c r="O51" s="213">
        <v>0</v>
      </c>
      <c r="P51" s="213"/>
      <c r="Q51" s="213"/>
      <c r="R51" s="213"/>
      <c r="S51" s="406"/>
    </row>
    <row r="52" spans="1:19" s="183" customFormat="1" ht="30" customHeight="1">
      <c r="A52" s="209" t="s">
        <v>257</v>
      </c>
      <c r="B52" s="215" t="s">
        <v>744</v>
      </c>
      <c r="C52" s="406"/>
      <c r="D52" s="211"/>
      <c r="E52" s="338">
        <f t="shared" si="21"/>
        <v>80</v>
      </c>
      <c r="F52" s="212">
        <f t="shared" si="2"/>
        <v>80</v>
      </c>
      <c r="G52" s="213">
        <f t="shared" si="22"/>
        <v>80</v>
      </c>
      <c r="H52" s="213">
        <f>J52+M52</f>
        <v>0</v>
      </c>
      <c r="I52" s="213"/>
      <c r="J52" s="213"/>
      <c r="K52" s="213"/>
      <c r="L52" s="213"/>
      <c r="M52" s="213"/>
      <c r="N52" s="213"/>
      <c r="O52" s="213"/>
      <c r="P52" s="213">
        <v>80</v>
      </c>
      <c r="Q52" s="213"/>
      <c r="R52" s="213"/>
      <c r="S52" s="406"/>
    </row>
    <row r="53" spans="1:19" s="183" customFormat="1" ht="17.25" hidden="1" customHeight="1">
      <c r="A53" s="209" t="s">
        <v>257</v>
      </c>
      <c r="B53" s="215"/>
      <c r="C53" s="406"/>
      <c r="D53" s="211"/>
      <c r="E53" s="338">
        <f t="shared" si="21"/>
        <v>0</v>
      </c>
      <c r="F53" s="212">
        <f t="shared" si="2"/>
        <v>0</v>
      </c>
      <c r="G53" s="213">
        <f t="shared" si="22"/>
        <v>0</v>
      </c>
      <c r="H53" s="213">
        <f>J53+M53</f>
        <v>0</v>
      </c>
      <c r="I53" s="213"/>
      <c r="J53" s="213"/>
      <c r="K53" s="213"/>
      <c r="L53" s="213"/>
      <c r="M53" s="213"/>
      <c r="N53" s="213"/>
      <c r="O53" s="213"/>
      <c r="P53" s="213"/>
      <c r="Q53" s="213"/>
      <c r="R53" s="213"/>
      <c r="S53" s="406"/>
    </row>
    <row r="54" spans="1:19" s="183" customFormat="1" ht="18" customHeight="1">
      <c r="A54" s="209" t="s">
        <v>206</v>
      </c>
      <c r="B54" s="210" t="s">
        <v>289</v>
      </c>
      <c r="C54" s="406">
        <f>SUM(C55:C60)</f>
        <v>1274.8900000000001</v>
      </c>
      <c r="D54" s="406">
        <f>SUM(D55:D60)</f>
        <v>0</v>
      </c>
      <c r="E54" s="338">
        <f>SUM(E55:E60)</f>
        <v>1351.8100000000002</v>
      </c>
      <c r="F54" s="212">
        <f t="shared" si="2"/>
        <v>76.920000000000073</v>
      </c>
      <c r="G54" s="406">
        <f t="shared" ref="G54:R54" si="25">SUM(G55:G60)</f>
        <v>1351.8100000000002</v>
      </c>
      <c r="H54" s="406">
        <f t="shared" si="25"/>
        <v>1208.6600000000001</v>
      </c>
      <c r="I54" s="406">
        <f t="shared" si="25"/>
        <v>8</v>
      </c>
      <c r="J54" s="406">
        <f t="shared" si="25"/>
        <v>1064.6600000000001</v>
      </c>
      <c r="K54" s="406">
        <f t="shared" si="25"/>
        <v>0</v>
      </c>
      <c r="L54" s="406">
        <f t="shared" si="25"/>
        <v>0</v>
      </c>
      <c r="M54" s="406">
        <f t="shared" si="25"/>
        <v>144</v>
      </c>
      <c r="N54" s="406">
        <f t="shared" si="25"/>
        <v>144</v>
      </c>
      <c r="O54" s="406">
        <f t="shared" si="25"/>
        <v>0</v>
      </c>
      <c r="P54" s="406">
        <f t="shared" si="25"/>
        <v>143.14999999999998</v>
      </c>
      <c r="Q54" s="406">
        <f t="shared" si="25"/>
        <v>0</v>
      </c>
      <c r="R54" s="406">
        <f t="shared" si="25"/>
        <v>0</v>
      </c>
      <c r="S54" s="406" t="s">
        <v>290</v>
      </c>
    </row>
    <row r="55" spans="1:19" s="183" customFormat="1" ht="16.5" customHeight="1">
      <c r="A55" s="209" t="s">
        <v>257</v>
      </c>
      <c r="B55" s="210" t="s">
        <v>549</v>
      </c>
      <c r="C55" s="406">
        <v>1064.73</v>
      </c>
      <c r="D55" s="211"/>
      <c r="E55" s="338">
        <f>G55+R55</f>
        <v>1043.5</v>
      </c>
      <c r="F55" s="212">
        <f t="shared" si="2"/>
        <v>-21.230000000000018</v>
      </c>
      <c r="G55" s="213">
        <f t="shared" ref="G55:G60" si="26">H55+P55+Q55</f>
        <v>1043.5</v>
      </c>
      <c r="H55" s="213">
        <f t="shared" ref="H55:H59" si="27">J55+M55</f>
        <v>1043.5</v>
      </c>
      <c r="I55" s="213">
        <v>8</v>
      </c>
      <c r="J55" s="213">
        <v>1043.5</v>
      </c>
      <c r="K55" s="213"/>
      <c r="L55" s="213"/>
      <c r="M55" s="213">
        <f t="shared" ref="M55:M59" si="28">N55+O55</f>
        <v>0</v>
      </c>
      <c r="N55" s="213"/>
      <c r="O55" s="213">
        <v>0</v>
      </c>
      <c r="P55" s="213"/>
      <c r="Q55" s="213"/>
      <c r="R55" s="213"/>
      <c r="S55" s="619"/>
    </row>
    <row r="56" spans="1:19" s="183" customFormat="1" ht="16.5" customHeight="1">
      <c r="A56" s="209" t="s">
        <v>257</v>
      </c>
      <c r="B56" s="210" t="s">
        <v>670</v>
      </c>
      <c r="C56" s="406">
        <v>144</v>
      </c>
      <c r="D56" s="211"/>
      <c r="E56" s="338">
        <f>G56+R56</f>
        <v>144</v>
      </c>
      <c r="F56" s="212">
        <f t="shared" si="2"/>
        <v>0</v>
      </c>
      <c r="G56" s="213">
        <f t="shared" si="26"/>
        <v>144</v>
      </c>
      <c r="H56" s="213">
        <f t="shared" si="27"/>
        <v>144</v>
      </c>
      <c r="I56" s="213"/>
      <c r="J56" s="213">
        <f t="shared" si="4"/>
        <v>0</v>
      </c>
      <c r="K56" s="213"/>
      <c r="L56" s="213"/>
      <c r="M56" s="213">
        <f t="shared" si="28"/>
        <v>144</v>
      </c>
      <c r="N56" s="213">
        <f>8*18</f>
        <v>144</v>
      </c>
      <c r="O56" s="213">
        <v>0</v>
      </c>
      <c r="P56" s="213">
        <v>0</v>
      </c>
      <c r="Q56" s="213"/>
      <c r="R56" s="213">
        <v>0</v>
      </c>
      <c r="S56" s="619"/>
    </row>
    <row r="57" spans="1:19" s="183" customFormat="1" ht="16.5" customHeight="1">
      <c r="A57" s="209" t="s">
        <v>257</v>
      </c>
      <c r="B57" s="210" t="s">
        <v>291</v>
      </c>
      <c r="C57" s="406">
        <v>10.73</v>
      </c>
      <c r="D57" s="211"/>
      <c r="E57" s="338">
        <f>G57</f>
        <v>10.73</v>
      </c>
      <c r="F57" s="212">
        <f t="shared" si="2"/>
        <v>0</v>
      </c>
      <c r="G57" s="213">
        <f t="shared" si="26"/>
        <v>10.73</v>
      </c>
      <c r="H57" s="213">
        <f t="shared" si="27"/>
        <v>10.73</v>
      </c>
      <c r="I57" s="213"/>
      <c r="J57" s="213">
        <v>10.73</v>
      </c>
      <c r="K57" s="213"/>
      <c r="L57" s="213"/>
      <c r="M57" s="213">
        <f t="shared" si="28"/>
        <v>0</v>
      </c>
      <c r="N57" s="213"/>
      <c r="O57" s="213">
        <v>0</v>
      </c>
      <c r="P57" s="213"/>
      <c r="Q57" s="213"/>
      <c r="R57" s="213"/>
      <c r="S57" s="619"/>
    </row>
    <row r="58" spans="1:19" s="183" customFormat="1" ht="29.25" customHeight="1">
      <c r="A58" s="209" t="s">
        <v>257</v>
      </c>
      <c r="B58" s="215" t="s">
        <v>292</v>
      </c>
      <c r="C58" s="406">
        <v>10.43</v>
      </c>
      <c r="D58" s="211"/>
      <c r="E58" s="338">
        <f>G58</f>
        <v>10.43</v>
      </c>
      <c r="F58" s="212">
        <f t="shared" si="2"/>
        <v>0</v>
      </c>
      <c r="G58" s="213">
        <f t="shared" si="26"/>
        <v>10.43</v>
      </c>
      <c r="H58" s="213">
        <f t="shared" si="27"/>
        <v>10.43</v>
      </c>
      <c r="I58" s="213"/>
      <c r="J58" s="213">
        <v>10.43</v>
      </c>
      <c r="K58" s="213"/>
      <c r="L58" s="213"/>
      <c r="M58" s="213">
        <f t="shared" si="28"/>
        <v>0</v>
      </c>
      <c r="N58" s="213"/>
      <c r="O58" s="213">
        <v>0</v>
      </c>
      <c r="P58" s="213"/>
      <c r="Q58" s="213"/>
      <c r="R58" s="213"/>
      <c r="S58" s="619"/>
    </row>
    <row r="59" spans="1:19" s="183" customFormat="1" ht="16.5" customHeight="1">
      <c r="A59" s="209" t="s">
        <v>257</v>
      </c>
      <c r="B59" s="210" t="s">
        <v>748</v>
      </c>
      <c r="C59" s="406">
        <v>45</v>
      </c>
      <c r="D59" s="211"/>
      <c r="E59" s="338">
        <f>G59+R59</f>
        <v>50</v>
      </c>
      <c r="F59" s="212">
        <f t="shared" si="2"/>
        <v>5</v>
      </c>
      <c r="G59" s="213">
        <f t="shared" si="26"/>
        <v>50</v>
      </c>
      <c r="H59" s="213">
        <f t="shared" si="27"/>
        <v>0</v>
      </c>
      <c r="I59" s="213"/>
      <c r="J59" s="213"/>
      <c r="K59" s="213"/>
      <c r="L59" s="213"/>
      <c r="M59" s="213">
        <f t="shared" si="28"/>
        <v>0</v>
      </c>
      <c r="N59" s="213"/>
      <c r="O59" s="213">
        <v>0</v>
      </c>
      <c r="P59" s="213">
        <v>50</v>
      </c>
      <c r="Q59" s="213"/>
      <c r="R59" s="213"/>
      <c r="S59" s="619"/>
    </row>
    <row r="60" spans="1:19" s="183" customFormat="1" ht="16.5" customHeight="1">
      <c r="A60" s="214" t="s">
        <v>257</v>
      </c>
      <c r="B60" s="210" t="s">
        <v>280</v>
      </c>
      <c r="C60" s="406"/>
      <c r="D60" s="211"/>
      <c r="E60" s="338">
        <f>G60+R60</f>
        <v>93.149999999999991</v>
      </c>
      <c r="F60" s="212">
        <f t="shared" si="2"/>
        <v>93.149999999999991</v>
      </c>
      <c r="G60" s="213">
        <f t="shared" si="26"/>
        <v>93.149999999999991</v>
      </c>
      <c r="H60" s="213"/>
      <c r="I60" s="213"/>
      <c r="J60" s="213"/>
      <c r="K60" s="213"/>
      <c r="L60" s="213"/>
      <c r="M60" s="213"/>
      <c r="N60" s="213"/>
      <c r="O60" s="213"/>
      <c r="P60" s="213">
        <f>14.85+78.3</f>
        <v>93.149999999999991</v>
      </c>
      <c r="Q60" s="213"/>
      <c r="R60" s="213"/>
      <c r="S60" s="406"/>
    </row>
    <row r="61" spans="1:19" s="183" customFormat="1" ht="18" customHeight="1">
      <c r="A61" s="209">
        <v>2</v>
      </c>
      <c r="B61" s="210" t="s">
        <v>294</v>
      </c>
      <c r="C61" s="406">
        <f>SUM(C62:C63)</f>
        <v>150</v>
      </c>
      <c r="D61" s="211">
        <v>867</v>
      </c>
      <c r="E61" s="338">
        <f t="shared" ref="E61:R61" si="29">SUM(E62:E63)</f>
        <v>150</v>
      </c>
      <c r="F61" s="212">
        <f t="shared" si="2"/>
        <v>0</v>
      </c>
      <c r="G61" s="213">
        <f t="shared" si="29"/>
        <v>150</v>
      </c>
      <c r="H61" s="213">
        <f t="shared" si="29"/>
        <v>0</v>
      </c>
      <c r="I61" s="213">
        <f t="shared" si="29"/>
        <v>0</v>
      </c>
      <c r="J61" s="213">
        <f t="shared" si="29"/>
        <v>0</v>
      </c>
      <c r="K61" s="213">
        <f t="shared" si="29"/>
        <v>0</v>
      </c>
      <c r="L61" s="213"/>
      <c r="M61" s="213">
        <f t="shared" si="29"/>
        <v>0</v>
      </c>
      <c r="N61" s="213">
        <f t="shared" si="29"/>
        <v>0</v>
      </c>
      <c r="O61" s="213">
        <f t="shared" si="29"/>
        <v>0</v>
      </c>
      <c r="P61" s="213">
        <f t="shared" si="29"/>
        <v>150</v>
      </c>
      <c r="Q61" s="213">
        <f t="shared" si="29"/>
        <v>0</v>
      </c>
      <c r="R61" s="213">
        <f t="shared" si="29"/>
        <v>0</v>
      </c>
      <c r="S61" s="406" t="s">
        <v>295</v>
      </c>
    </row>
    <row r="62" spans="1:19" s="183" customFormat="1" ht="28.5" customHeight="1">
      <c r="A62" s="209" t="s">
        <v>257</v>
      </c>
      <c r="B62" s="215" t="s">
        <v>296</v>
      </c>
      <c r="C62" s="406">
        <v>20</v>
      </c>
      <c r="D62" s="211"/>
      <c r="E62" s="338">
        <f>G62+R62</f>
        <v>20</v>
      </c>
      <c r="F62" s="212">
        <f t="shared" si="2"/>
        <v>0</v>
      </c>
      <c r="G62" s="213">
        <f>H62+P62+Q62</f>
        <v>20</v>
      </c>
      <c r="H62" s="213">
        <f>J62+M62</f>
        <v>0</v>
      </c>
      <c r="I62" s="213"/>
      <c r="J62" s="213">
        <f t="shared" ref="J62:J118" si="30">K62+L62</f>
        <v>0</v>
      </c>
      <c r="K62" s="213"/>
      <c r="L62" s="213"/>
      <c r="M62" s="213">
        <f>N62+O62</f>
        <v>0</v>
      </c>
      <c r="N62" s="213"/>
      <c r="O62" s="213">
        <v>0</v>
      </c>
      <c r="P62" s="213">
        <v>20</v>
      </c>
      <c r="Q62" s="213"/>
      <c r="R62" s="213"/>
      <c r="S62" s="406"/>
    </row>
    <row r="63" spans="1:19" s="183" customFormat="1" ht="18" customHeight="1">
      <c r="A63" s="209" t="s">
        <v>257</v>
      </c>
      <c r="B63" s="210" t="s">
        <v>297</v>
      </c>
      <c r="C63" s="406">
        <v>130</v>
      </c>
      <c r="D63" s="211"/>
      <c r="E63" s="338">
        <f>G63+R63</f>
        <v>130</v>
      </c>
      <c r="F63" s="212">
        <f t="shared" si="2"/>
        <v>0</v>
      </c>
      <c r="G63" s="213">
        <f>H63+P63+Q63</f>
        <v>130</v>
      </c>
      <c r="H63" s="213">
        <f>J63+M63</f>
        <v>0</v>
      </c>
      <c r="I63" s="213"/>
      <c r="J63" s="213">
        <f t="shared" si="30"/>
        <v>0</v>
      </c>
      <c r="K63" s="213"/>
      <c r="L63" s="213"/>
      <c r="M63" s="213">
        <f>N63+O63</f>
        <v>0</v>
      </c>
      <c r="N63" s="213"/>
      <c r="O63" s="213">
        <v>0</v>
      </c>
      <c r="P63" s="213">
        <v>130</v>
      </c>
      <c r="Q63" s="213"/>
      <c r="R63" s="213"/>
      <c r="S63" s="406"/>
    </row>
    <row r="64" spans="1:19" s="183" customFormat="1" ht="18" customHeight="1">
      <c r="A64" s="209">
        <v>3</v>
      </c>
      <c r="B64" s="210" t="s">
        <v>298</v>
      </c>
      <c r="C64" s="406">
        <f>C66+C73+C75+C76+C77+C78+C79+C80</f>
        <v>2528.614</v>
      </c>
      <c r="D64" s="406">
        <f t="shared" ref="D64:R64" si="31">D66+D73+D75+D76+D77+D78+D79+D80</f>
        <v>0</v>
      </c>
      <c r="E64" s="406">
        <f t="shared" si="31"/>
        <v>5429</v>
      </c>
      <c r="F64" s="406">
        <f t="shared" si="31"/>
        <v>2900.386</v>
      </c>
      <c r="G64" s="406">
        <f t="shared" si="31"/>
        <v>5429</v>
      </c>
      <c r="H64" s="406">
        <f t="shared" si="31"/>
        <v>0</v>
      </c>
      <c r="I64" s="406">
        <f t="shared" si="31"/>
        <v>3</v>
      </c>
      <c r="J64" s="406">
        <f t="shared" si="31"/>
        <v>0</v>
      </c>
      <c r="K64" s="406">
        <f t="shared" si="31"/>
        <v>0</v>
      </c>
      <c r="L64" s="406">
        <f t="shared" si="31"/>
        <v>0</v>
      </c>
      <c r="M64" s="406">
        <f t="shared" si="31"/>
        <v>0</v>
      </c>
      <c r="N64" s="406">
        <f t="shared" si="31"/>
        <v>0</v>
      </c>
      <c r="O64" s="406">
        <f t="shared" si="31"/>
        <v>0</v>
      </c>
      <c r="P64" s="406">
        <f t="shared" si="31"/>
        <v>5429</v>
      </c>
      <c r="Q64" s="406">
        <f t="shared" si="31"/>
        <v>0</v>
      </c>
      <c r="R64" s="406">
        <f t="shared" si="31"/>
        <v>0</v>
      </c>
      <c r="S64" s="406"/>
    </row>
    <row r="65" spans="1:19" s="183" customFormat="1" ht="18" customHeight="1">
      <c r="A65" s="209" t="s">
        <v>299</v>
      </c>
      <c r="B65" s="210" t="s">
        <v>300</v>
      </c>
      <c r="C65" s="406">
        <f>C66+C73+C76+C77+C78+C79+C80</f>
        <v>2478.614</v>
      </c>
      <c r="D65" s="406">
        <f t="shared" ref="D65:R65" si="32">D66+D73+D76+D77+D78+D79+D80</f>
        <v>0</v>
      </c>
      <c r="E65" s="406">
        <f t="shared" si="32"/>
        <v>5379</v>
      </c>
      <c r="F65" s="406">
        <f t="shared" si="32"/>
        <v>2900.386</v>
      </c>
      <c r="G65" s="406">
        <f t="shared" si="32"/>
        <v>5379</v>
      </c>
      <c r="H65" s="406">
        <f t="shared" si="32"/>
        <v>0</v>
      </c>
      <c r="I65" s="406">
        <f t="shared" si="32"/>
        <v>3</v>
      </c>
      <c r="J65" s="406">
        <f t="shared" si="32"/>
        <v>0</v>
      </c>
      <c r="K65" s="406">
        <f t="shared" si="32"/>
        <v>0</v>
      </c>
      <c r="L65" s="406">
        <f t="shared" si="32"/>
        <v>0</v>
      </c>
      <c r="M65" s="406">
        <f t="shared" si="32"/>
        <v>0</v>
      </c>
      <c r="N65" s="406">
        <f t="shared" si="32"/>
        <v>0</v>
      </c>
      <c r="O65" s="406">
        <f t="shared" si="32"/>
        <v>0</v>
      </c>
      <c r="P65" s="406">
        <f t="shared" si="32"/>
        <v>5379</v>
      </c>
      <c r="Q65" s="406">
        <f t="shared" si="32"/>
        <v>0</v>
      </c>
      <c r="R65" s="406">
        <f t="shared" si="32"/>
        <v>0</v>
      </c>
      <c r="S65" s="406"/>
    </row>
    <row r="66" spans="1:19" s="183" customFormat="1" ht="18" customHeight="1">
      <c r="A66" s="209" t="s">
        <v>204</v>
      </c>
      <c r="B66" s="210" t="s">
        <v>301</v>
      </c>
      <c r="C66" s="406">
        <f t="shared" ref="C66:R66" si="33">SUM(C67:C72)</f>
        <v>308.61399999999998</v>
      </c>
      <c r="D66" s="211"/>
      <c r="E66" s="338">
        <f t="shared" si="33"/>
        <v>0</v>
      </c>
      <c r="F66" s="212">
        <f t="shared" si="2"/>
        <v>-308.61399999999998</v>
      </c>
      <c r="G66" s="213">
        <f t="shared" si="33"/>
        <v>0</v>
      </c>
      <c r="H66" s="213">
        <f t="shared" si="33"/>
        <v>0</v>
      </c>
      <c r="I66" s="213">
        <f t="shared" si="33"/>
        <v>3</v>
      </c>
      <c r="J66" s="213">
        <f t="shared" si="33"/>
        <v>0</v>
      </c>
      <c r="K66" s="213">
        <f t="shared" si="33"/>
        <v>0</v>
      </c>
      <c r="L66" s="213">
        <f t="shared" si="33"/>
        <v>0</v>
      </c>
      <c r="M66" s="213">
        <f t="shared" si="33"/>
        <v>0</v>
      </c>
      <c r="N66" s="213">
        <f t="shared" si="33"/>
        <v>0</v>
      </c>
      <c r="O66" s="213">
        <f t="shared" si="33"/>
        <v>0</v>
      </c>
      <c r="P66" s="213">
        <f t="shared" si="33"/>
        <v>0</v>
      </c>
      <c r="Q66" s="213">
        <f t="shared" si="33"/>
        <v>0</v>
      </c>
      <c r="R66" s="213">
        <f t="shared" si="33"/>
        <v>0</v>
      </c>
      <c r="S66" s="406" t="s">
        <v>302</v>
      </c>
    </row>
    <row r="67" spans="1:19" s="183" customFormat="1" ht="18" customHeight="1">
      <c r="A67" s="209" t="s">
        <v>257</v>
      </c>
      <c r="B67" s="210" t="s">
        <v>303</v>
      </c>
      <c r="C67" s="406">
        <v>244.78</v>
      </c>
      <c r="D67" s="211"/>
      <c r="E67" s="338">
        <f>G67+R67</f>
        <v>0</v>
      </c>
      <c r="F67" s="212">
        <f t="shared" ref="F67:F133" si="34">E67-C67</f>
        <v>-244.78</v>
      </c>
      <c r="G67" s="213">
        <f t="shared" ref="G67:G72" si="35">H67+P67+Q67</f>
        <v>0</v>
      </c>
      <c r="H67" s="213">
        <f t="shared" ref="H67:H72" si="36">J67+M67</f>
        <v>0</v>
      </c>
      <c r="I67" s="213">
        <v>3</v>
      </c>
      <c r="J67" s="213">
        <v>0</v>
      </c>
      <c r="K67" s="213">
        <v>0</v>
      </c>
      <c r="L67" s="213">
        <v>0</v>
      </c>
      <c r="M67" s="213">
        <f t="shared" ref="M67:M72" si="37">N67+O67</f>
        <v>0</v>
      </c>
      <c r="N67" s="213"/>
      <c r="O67" s="213">
        <v>0</v>
      </c>
      <c r="P67" s="213"/>
      <c r="Q67" s="213"/>
      <c r="R67" s="213"/>
      <c r="S67" s="406"/>
    </row>
    <row r="68" spans="1:19" s="183" customFormat="1" ht="18" customHeight="1">
      <c r="A68" s="209" t="s">
        <v>257</v>
      </c>
      <c r="B68" s="210" t="s">
        <v>304</v>
      </c>
      <c r="C68" s="406">
        <v>54</v>
      </c>
      <c r="D68" s="211"/>
      <c r="E68" s="338">
        <f>G68+R68</f>
        <v>0</v>
      </c>
      <c r="F68" s="212">
        <f t="shared" si="34"/>
        <v>-54</v>
      </c>
      <c r="G68" s="213">
        <f t="shared" si="35"/>
        <v>0</v>
      </c>
      <c r="H68" s="213">
        <f t="shared" si="36"/>
        <v>0</v>
      </c>
      <c r="I68" s="213"/>
      <c r="J68" s="213">
        <f t="shared" si="30"/>
        <v>0</v>
      </c>
      <c r="K68" s="213"/>
      <c r="L68" s="213"/>
      <c r="M68" s="213">
        <v>0</v>
      </c>
      <c r="N68" s="213">
        <v>0</v>
      </c>
      <c r="O68" s="213">
        <v>0</v>
      </c>
      <c r="P68" s="213">
        <v>0</v>
      </c>
      <c r="Q68" s="213"/>
      <c r="R68" s="213">
        <v>0</v>
      </c>
      <c r="S68" s="406"/>
    </row>
    <row r="69" spans="1:19" s="183" customFormat="1" ht="16.5" customHeight="1">
      <c r="A69" s="209" t="s">
        <v>257</v>
      </c>
      <c r="B69" s="210" t="s">
        <v>286</v>
      </c>
      <c r="C69" s="406">
        <v>5.3639999999999999</v>
      </c>
      <c r="D69" s="211"/>
      <c r="E69" s="338">
        <f>G69</f>
        <v>0</v>
      </c>
      <c r="F69" s="212">
        <f t="shared" si="34"/>
        <v>-5.3639999999999999</v>
      </c>
      <c r="G69" s="213">
        <f t="shared" si="35"/>
        <v>0</v>
      </c>
      <c r="H69" s="213">
        <f t="shared" si="36"/>
        <v>0</v>
      </c>
      <c r="I69" s="213"/>
      <c r="J69" s="213">
        <f t="shared" si="30"/>
        <v>0</v>
      </c>
      <c r="K69" s="213">
        <v>0</v>
      </c>
      <c r="L69" s="213">
        <v>0</v>
      </c>
      <c r="M69" s="213">
        <f t="shared" si="37"/>
        <v>0</v>
      </c>
      <c r="N69" s="213"/>
      <c r="O69" s="213">
        <v>0</v>
      </c>
      <c r="P69" s="213"/>
      <c r="Q69" s="213"/>
      <c r="R69" s="213"/>
      <c r="S69" s="406"/>
    </row>
    <row r="70" spans="1:19" s="183" customFormat="1" ht="28.5" customHeight="1">
      <c r="A70" s="209" t="s">
        <v>257</v>
      </c>
      <c r="B70" s="215" t="s">
        <v>292</v>
      </c>
      <c r="C70" s="406">
        <v>4.47</v>
      </c>
      <c r="D70" s="211"/>
      <c r="E70" s="338">
        <f>G70</f>
        <v>0</v>
      </c>
      <c r="F70" s="212">
        <f t="shared" si="34"/>
        <v>-4.47</v>
      </c>
      <c r="G70" s="213">
        <f t="shared" si="35"/>
        <v>0</v>
      </c>
      <c r="H70" s="213">
        <f t="shared" si="36"/>
        <v>0</v>
      </c>
      <c r="I70" s="213"/>
      <c r="J70" s="213">
        <f t="shared" si="30"/>
        <v>0</v>
      </c>
      <c r="K70" s="213">
        <v>0</v>
      </c>
      <c r="L70" s="213">
        <v>0</v>
      </c>
      <c r="M70" s="213">
        <f t="shared" si="37"/>
        <v>0</v>
      </c>
      <c r="N70" s="213"/>
      <c r="O70" s="213">
        <v>0</v>
      </c>
      <c r="P70" s="213"/>
      <c r="Q70" s="213"/>
      <c r="R70" s="213"/>
      <c r="S70" s="406"/>
    </row>
    <row r="71" spans="1:19" s="183" customFormat="1" ht="33" customHeight="1">
      <c r="A71" s="209" t="s">
        <v>257</v>
      </c>
      <c r="B71" s="215" t="s">
        <v>293</v>
      </c>
      <c r="C71" s="406"/>
      <c r="D71" s="211"/>
      <c r="E71" s="338">
        <f>G71+R71</f>
        <v>0</v>
      </c>
      <c r="F71" s="212">
        <f t="shared" si="34"/>
        <v>0</v>
      </c>
      <c r="G71" s="213">
        <f t="shared" si="35"/>
        <v>0</v>
      </c>
      <c r="H71" s="213">
        <f t="shared" si="36"/>
        <v>0</v>
      </c>
      <c r="I71" s="213"/>
      <c r="J71" s="213">
        <f>K71+L71</f>
        <v>0</v>
      </c>
      <c r="K71" s="213"/>
      <c r="L71" s="213"/>
      <c r="M71" s="213">
        <f t="shared" si="37"/>
        <v>0</v>
      </c>
      <c r="N71" s="213"/>
      <c r="O71" s="213"/>
      <c r="P71" s="213"/>
      <c r="Q71" s="213"/>
      <c r="R71" s="213"/>
      <c r="S71" s="406"/>
    </row>
    <row r="72" spans="1:19" s="183" customFormat="1" ht="25.5" customHeight="1">
      <c r="A72" s="209" t="s">
        <v>257</v>
      </c>
      <c r="B72" s="215" t="s">
        <v>305</v>
      </c>
      <c r="C72" s="406"/>
      <c r="D72" s="211"/>
      <c r="E72" s="338">
        <f>G72+R72</f>
        <v>0</v>
      </c>
      <c r="F72" s="212">
        <f t="shared" si="34"/>
        <v>0</v>
      </c>
      <c r="G72" s="213">
        <f t="shared" si="35"/>
        <v>0</v>
      </c>
      <c r="H72" s="213">
        <f t="shared" si="36"/>
        <v>0</v>
      </c>
      <c r="I72" s="213"/>
      <c r="J72" s="213">
        <f>K72+L72</f>
        <v>0</v>
      </c>
      <c r="K72" s="213"/>
      <c r="L72" s="213"/>
      <c r="M72" s="213">
        <f t="shared" si="37"/>
        <v>0</v>
      </c>
      <c r="N72" s="213"/>
      <c r="O72" s="213"/>
      <c r="P72" s="213"/>
      <c r="Q72" s="213"/>
      <c r="R72" s="213"/>
      <c r="S72" s="406"/>
    </row>
    <row r="73" spans="1:19" s="183" customFormat="1" ht="18" customHeight="1">
      <c r="A73" s="209" t="s">
        <v>206</v>
      </c>
      <c r="B73" s="210" t="s">
        <v>306</v>
      </c>
      <c r="C73" s="406">
        <f>SUM(C74:C74)</f>
        <v>2000</v>
      </c>
      <c r="D73" s="211"/>
      <c r="E73" s="338">
        <f t="shared" ref="E73:K73" si="38">SUM(E74:E74)</f>
        <v>3500</v>
      </c>
      <c r="F73" s="212">
        <f t="shared" si="34"/>
        <v>1500</v>
      </c>
      <c r="G73" s="213">
        <f t="shared" si="38"/>
        <v>3500</v>
      </c>
      <c r="H73" s="213">
        <f t="shared" si="38"/>
        <v>0</v>
      </c>
      <c r="I73" s="213">
        <f>SUM(I74:I74)</f>
        <v>0</v>
      </c>
      <c r="J73" s="213">
        <f t="shared" si="38"/>
        <v>0</v>
      </c>
      <c r="K73" s="213">
        <f t="shared" si="38"/>
        <v>0</v>
      </c>
      <c r="L73" s="213"/>
      <c r="M73" s="213">
        <f t="shared" ref="M73:R73" si="39">SUM(M74:M74)</f>
        <v>0</v>
      </c>
      <c r="N73" s="213">
        <f t="shared" si="39"/>
        <v>0</v>
      </c>
      <c r="O73" s="213">
        <f t="shared" si="39"/>
        <v>0</v>
      </c>
      <c r="P73" s="213">
        <f t="shared" si="39"/>
        <v>3500</v>
      </c>
      <c r="Q73" s="213">
        <f t="shared" si="39"/>
        <v>0</v>
      </c>
      <c r="R73" s="213">
        <f t="shared" si="39"/>
        <v>0</v>
      </c>
      <c r="S73" s="406" t="s">
        <v>300</v>
      </c>
    </row>
    <row r="74" spans="1:19" s="183" customFormat="1" ht="45.75" customHeight="1">
      <c r="A74" s="214" t="s">
        <v>257</v>
      </c>
      <c r="B74" s="215" t="s">
        <v>943</v>
      </c>
      <c r="C74" s="406">
        <v>2000</v>
      </c>
      <c r="D74" s="211"/>
      <c r="E74" s="338">
        <f>G74+R74</f>
        <v>3500</v>
      </c>
      <c r="F74" s="212">
        <f t="shared" si="34"/>
        <v>1500</v>
      </c>
      <c r="G74" s="213">
        <f>H74+P74+Q74</f>
        <v>3500</v>
      </c>
      <c r="H74" s="213">
        <f>J74+M74</f>
        <v>0</v>
      </c>
      <c r="I74" s="213"/>
      <c r="J74" s="213">
        <f>K74+L74</f>
        <v>0</v>
      </c>
      <c r="K74" s="213"/>
      <c r="L74" s="213"/>
      <c r="M74" s="213">
        <f>N74+O74</f>
        <v>0</v>
      </c>
      <c r="N74" s="213"/>
      <c r="O74" s="213">
        <v>0</v>
      </c>
      <c r="P74" s="213">
        <v>3500</v>
      </c>
      <c r="Q74" s="213"/>
      <c r="R74" s="213"/>
      <c r="S74" s="406"/>
    </row>
    <row r="75" spans="1:19" s="183" customFormat="1" ht="47.25" customHeight="1">
      <c r="A75" s="209" t="s">
        <v>208</v>
      </c>
      <c r="B75" s="215" t="s">
        <v>307</v>
      </c>
      <c r="C75" s="406">
        <v>50</v>
      </c>
      <c r="D75" s="211"/>
      <c r="E75" s="338">
        <f>G75+R75</f>
        <v>50</v>
      </c>
      <c r="F75" s="212">
        <f t="shared" si="34"/>
        <v>0</v>
      </c>
      <c r="G75" s="213">
        <f>H75+P75+Q75</f>
        <v>50</v>
      </c>
      <c r="H75" s="213">
        <f>J75+M75</f>
        <v>0</v>
      </c>
      <c r="I75" s="213"/>
      <c r="J75" s="213">
        <f t="shared" si="30"/>
        <v>0</v>
      </c>
      <c r="K75" s="213"/>
      <c r="L75" s="213"/>
      <c r="M75" s="213">
        <f>N75+O75</f>
        <v>0</v>
      </c>
      <c r="N75" s="213"/>
      <c r="O75" s="213">
        <v>0</v>
      </c>
      <c r="P75" s="213">
        <v>50</v>
      </c>
      <c r="Q75" s="213"/>
      <c r="R75" s="213"/>
      <c r="S75" s="406" t="s">
        <v>308</v>
      </c>
    </row>
    <row r="76" spans="1:19" s="225" customFormat="1" ht="29.25" customHeight="1">
      <c r="A76" s="209" t="s">
        <v>209</v>
      </c>
      <c r="B76" s="224" t="s">
        <v>762</v>
      </c>
      <c r="C76" s="406"/>
      <c r="D76" s="211"/>
      <c r="E76" s="338">
        <f>G76+R76</f>
        <v>439</v>
      </c>
      <c r="F76" s="212">
        <f t="shared" si="34"/>
        <v>439</v>
      </c>
      <c r="G76" s="213">
        <f>H76+P76+Q76</f>
        <v>439</v>
      </c>
      <c r="H76" s="213">
        <f>J76+M76</f>
        <v>0</v>
      </c>
      <c r="I76" s="213"/>
      <c r="J76" s="213"/>
      <c r="K76" s="213"/>
      <c r="L76" s="213"/>
      <c r="M76" s="213"/>
      <c r="N76" s="213"/>
      <c r="O76" s="213"/>
      <c r="P76" s="213">
        <v>439</v>
      </c>
      <c r="Q76" s="213"/>
      <c r="R76" s="213"/>
      <c r="S76" s="462" t="s">
        <v>300</v>
      </c>
    </row>
    <row r="77" spans="1:19" s="183" customFormat="1" ht="39.75" customHeight="1">
      <c r="A77" s="214" t="s">
        <v>216</v>
      </c>
      <c r="B77" s="215" t="s">
        <v>669</v>
      </c>
      <c r="C77" s="406"/>
      <c r="D77" s="211"/>
      <c r="E77" s="338">
        <f t="shared" ref="E77" si="40">G77+R77</f>
        <v>1140</v>
      </c>
      <c r="F77" s="212">
        <f t="shared" ref="F77" si="41">E77-C77</f>
        <v>1140</v>
      </c>
      <c r="G77" s="213">
        <f t="shared" ref="G77" si="42">H77+P77+Q77</f>
        <v>1140</v>
      </c>
      <c r="H77" s="213">
        <f t="shared" ref="H77" si="43">J77+M77</f>
        <v>0</v>
      </c>
      <c r="I77" s="213"/>
      <c r="J77" s="213">
        <f>K77+L77</f>
        <v>0</v>
      </c>
      <c r="K77" s="213"/>
      <c r="L77" s="213"/>
      <c r="M77" s="213">
        <f t="shared" ref="M77" si="44">N77+O77</f>
        <v>0</v>
      </c>
      <c r="N77" s="213"/>
      <c r="O77" s="213">
        <v>0</v>
      </c>
      <c r="P77" s="213">
        <v>1140</v>
      </c>
      <c r="Q77" s="213"/>
      <c r="R77" s="213"/>
      <c r="S77" s="462" t="s">
        <v>300</v>
      </c>
    </row>
    <row r="78" spans="1:19" s="183" customFormat="1" ht="27" customHeight="1">
      <c r="A78" s="214" t="s">
        <v>217</v>
      </c>
      <c r="B78" s="215" t="s">
        <v>569</v>
      </c>
      <c r="C78" s="406"/>
      <c r="D78" s="211"/>
      <c r="E78" s="338">
        <f t="shared" ref="E78" si="45">G78+R78</f>
        <v>300</v>
      </c>
      <c r="F78" s="212">
        <f t="shared" ref="F78" si="46">E78-C78</f>
        <v>300</v>
      </c>
      <c r="G78" s="213">
        <f t="shared" ref="G78" si="47">H78+P78+Q78</f>
        <v>300</v>
      </c>
      <c r="H78" s="213">
        <f t="shared" ref="H78" si="48">J78+M78</f>
        <v>0</v>
      </c>
      <c r="I78" s="213"/>
      <c r="J78" s="213">
        <f t="shared" ref="J78" si="49">K78+L78</f>
        <v>0</v>
      </c>
      <c r="K78" s="213"/>
      <c r="L78" s="213"/>
      <c r="M78" s="213">
        <f t="shared" ref="M78" si="50">N78+O78</f>
        <v>0</v>
      </c>
      <c r="N78" s="213"/>
      <c r="O78" s="213">
        <v>0</v>
      </c>
      <c r="P78" s="213">
        <v>300</v>
      </c>
      <c r="Q78" s="213"/>
      <c r="R78" s="213"/>
      <c r="S78" s="462" t="s">
        <v>300</v>
      </c>
    </row>
    <row r="79" spans="1:19" s="225" customFormat="1" ht="23.25" customHeight="1">
      <c r="A79" s="209" t="s">
        <v>218</v>
      </c>
      <c r="B79" s="226" t="s">
        <v>763</v>
      </c>
      <c r="C79" s="406"/>
      <c r="D79" s="211"/>
      <c r="E79" s="338">
        <f>G79+R79</f>
        <v>0</v>
      </c>
      <c r="F79" s="212">
        <f t="shared" si="34"/>
        <v>0</v>
      </c>
      <c r="G79" s="213">
        <f>H79+P79+Q79</f>
        <v>0</v>
      </c>
      <c r="H79" s="213">
        <f>J79+M79</f>
        <v>0</v>
      </c>
      <c r="I79" s="213"/>
      <c r="J79" s="213"/>
      <c r="K79" s="213"/>
      <c r="L79" s="213"/>
      <c r="M79" s="213"/>
      <c r="N79" s="213"/>
      <c r="O79" s="213"/>
      <c r="P79" s="213"/>
      <c r="Q79" s="213"/>
      <c r="R79" s="213"/>
      <c r="S79" s="216" t="s">
        <v>764</v>
      </c>
    </row>
    <row r="80" spans="1:19" s="183" customFormat="1" ht="18" customHeight="1">
      <c r="A80" s="209" t="s">
        <v>219</v>
      </c>
      <c r="B80" s="227" t="s">
        <v>766</v>
      </c>
      <c r="C80" s="406">
        <v>170</v>
      </c>
      <c r="D80" s="211"/>
      <c r="E80" s="338">
        <f>G80+R80</f>
        <v>0</v>
      </c>
      <c r="F80" s="212">
        <f t="shared" si="34"/>
        <v>-170</v>
      </c>
      <c r="G80" s="213">
        <f>H80+P80+Q80</f>
        <v>0</v>
      </c>
      <c r="H80" s="213">
        <f>J80+M80</f>
        <v>0</v>
      </c>
      <c r="I80" s="213"/>
      <c r="J80" s="213">
        <f t="shared" si="30"/>
        <v>0</v>
      </c>
      <c r="K80" s="213"/>
      <c r="L80" s="213"/>
      <c r="M80" s="213">
        <f>N80+O80</f>
        <v>0</v>
      </c>
      <c r="N80" s="213"/>
      <c r="O80" s="213">
        <v>0</v>
      </c>
      <c r="P80" s="213"/>
      <c r="Q80" s="213"/>
      <c r="R80" s="213"/>
      <c r="S80" s="406" t="s">
        <v>302</v>
      </c>
    </row>
    <row r="81" spans="1:19" s="183" customFormat="1" ht="18" customHeight="1">
      <c r="A81" s="209">
        <v>4</v>
      </c>
      <c r="B81" s="210" t="s">
        <v>309</v>
      </c>
      <c r="C81" s="406">
        <f>C82+C85+C121+C140+C163+C389+C400+C415</f>
        <v>69229.290999999997</v>
      </c>
      <c r="D81" s="406">
        <f>D82+D85+D121+D140+D163+D389+D400+D415</f>
        <v>1078</v>
      </c>
      <c r="E81" s="338">
        <f>E82+E85+E121+E140+E163+E389+E400+E415</f>
        <v>74772.970020000008</v>
      </c>
      <c r="F81" s="212">
        <f t="shared" si="34"/>
        <v>5543.6790200000105</v>
      </c>
      <c r="G81" s="406">
        <f t="shared" ref="G81:R81" si="51">G82+G85+G121+G140+G163+G389+G400+G415</f>
        <v>74152.970020000008</v>
      </c>
      <c r="H81" s="406">
        <f t="shared" si="51"/>
        <v>41940.800020000002</v>
      </c>
      <c r="I81" s="406">
        <f t="shared" si="51"/>
        <v>156</v>
      </c>
      <c r="J81" s="406">
        <f t="shared" si="51"/>
        <v>23842.107020000003</v>
      </c>
      <c r="K81" s="406">
        <f t="shared" si="51"/>
        <v>0</v>
      </c>
      <c r="L81" s="406">
        <f t="shared" si="51"/>
        <v>0</v>
      </c>
      <c r="M81" s="406">
        <f t="shared" si="51"/>
        <v>18098.692999999999</v>
      </c>
      <c r="N81" s="406">
        <f t="shared" si="51"/>
        <v>4146.2999999999993</v>
      </c>
      <c r="O81" s="406">
        <f t="shared" si="51"/>
        <v>13952.393</v>
      </c>
      <c r="P81" s="406">
        <f t="shared" si="51"/>
        <v>32212.170000000002</v>
      </c>
      <c r="Q81" s="406">
        <f t="shared" si="51"/>
        <v>0</v>
      </c>
      <c r="R81" s="406">
        <f t="shared" si="51"/>
        <v>620</v>
      </c>
      <c r="S81" s="406"/>
    </row>
    <row r="82" spans="1:19" s="183" customFormat="1" ht="18" customHeight="1">
      <c r="A82" s="209" t="s">
        <v>310</v>
      </c>
      <c r="B82" s="210" t="s">
        <v>311</v>
      </c>
      <c r="C82" s="406">
        <f>SUM(C83:C84)</f>
        <v>943</v>
      </c>
      <c r="D82" s="211"/>
      <c r="E82" s="338">
        <f>SUM(E83:E84)</f>
        <v>941</v>
      </c>
      <c r="F82" s="212">
        <f t="shared" si="34"/>
        <v>-2</v>
      </c>
      <c r="G82" s="406">
        <f t="shared" ref="G82:R82" si="52">SUM(G83:G84)</f>
        <v>941</v>
      </c>
      <c r="H82" s="406">
        <f t="shared" si="52"/>
        <v>0</v>
      </c>
      <c r="I82" s="406">
        <f t="shared" si="52"/>
        <v>0</v>
      </c>
      <c r="J82" s="406">
        <f t="shared" si="52"/>
        <v>0</v>
      </c>
      <c r="K82" s="406">
        <f t="shared" si="52"/>
        <v>0</v>
      </c>
      <c r="L82" s="406">
        <f t="shared" si="52"/>
        <v>0</v>
      </c>
      <c r="M82" s="406">
        <f t="shared" si="52"/>
        <v>0</v>
      </c>
      <c r="N82" s="406">
        <f t="shared" si="52"/>
        <v>0</v>
      </c>
      <c r="O82" s="406">
        <f t="shared" si="52"/>
        <v>0</v>
      </c>
      <c r="P82" s="406">
        <f t="shared" si="52"/>
        <v>941</v>
      </c>
      <c r="Q82" s="406">
        <f t="shared" si="52"/>
        <v>0</v>
      </c>
      <c r="R82" s="406">
        <f t="shared" si="52"/>
        <v>0</v>
      </c>
      <c r="S82" s="406"/>
    </row>
    <row r="83" spans="1:19" s="183" customFormat="1" ht="35.25" customHeight="1">
      <c r="A83" s="209" t="s">
        <v>257</v>
      </c>
      <c r="B83" s="215" t="s">
        <v>369</v>
      </c>
      <c r="C83" s="406">
        <v>656</v>
      </c>
      <c r="D83" s="211"/>
      <c r="E83" s="338">
        <f>G83+R83</f>
        <v>686</v>
      </c>
      <c r="F83" s="212">
        <f t="shared" si="34"/>
        <v>30</v>
      </c>
      <c r="G83" s="213">
        <f>H83+P83+Q83</f>
        <v>686</v>
      </c>
      <c r="H83" s="213">
        <f>J83+M83</f>
        <v>0</v>
      </c>
      <c r="I83" s="213"/>
      <c r="J83" s="213">
        <f>K83+L83</f>
        <v>0</v>
      </c>
      <c r="K83" s="213"/>
      <c r="L83" s="213"/>
      <c r="M83" s="213">
        <f>N83+O83</f>
        <v>0</v>
      </c>
      <c r="N83" s="213"/>
      <c r="O83" s="213">
        <v>0</v>
      </c>
      <c r="P83" s="213">
        <v>686</v>
      </c>
      <c r="Q83" s="213"/>
      <c r="R83" s="213"/>
      <c r="S83" s="406"/>
    </row>
    <row r="84" spans="1:19" s="183" customFormat="1" ht="21.75" customHeight="1">
      <c r="A84" s="209" t="s">
        <v>257</v>
      </c>
      <c r="B84" s="215" t="s">
        <v>370</v>
      </c>
      <c r="C84" s="406">
        <v>287</v>
      </c>
      <c r="D84" s="211"/>
      <c r="E84" s="338">
        <f>G84+R84</f>
        <v>255</v>
      </c>
      <c r="F84" s="212">
        <f t="shared" si="34"/>
        <v>-32</v>
      </c>
      <c r="G84" s="213">
        <f>H84+P84+Q84</f>
        <v>255</v>
      </c>
      <c r="H84" s="213">
        <f>J84+M84</f>
        <v>0</v>
      </c>
      <c r="I84" s="213"/>
      <c r="J84" s="213">
        <f>K84+L84</f>
        <v>0</v>
      </c>
      <c r="K84" s="213"/>
      <c r="L84" s="213"/>
      <c r="M84" s="213">
        <f>N84+O84</f>
        <v>0</v>
      </c>
      <c r="N84" s="213"/>
      <c r="O84" s="213">
        <v>0</v>
      </c>
      <c r="P84" s="213">
        <v>255</v>
      </c>
      <c r="Q84" s="213"/>
      <c r="R84" s="213"/>
      <c r="S84" s="406"/>
    </row>
    <row r="85" spans="1:19" s="183" customFormat="1" ht="18" customHeight="1">
      <c r="A85" s="209" t="s">
        <v>312</v>
      </c>
      <c r="B85" s="210" t="s">
        <v>313</v>
      </c>
      <c r="C85" s="406">
        <f>C86+C99+C108+C117</f>
        <v>15078.307000000001</v>
      </c>
      <c r="D85" s="211">
        <v>280</v>
      </c>
      <c r="E85" s="338">
        <f>E86+E99+E108+E117</f>
        <v>15195.412</v>
      </c>
      <c r="F85" s="212">
        <f t="shared" si="34"/>
        <v>117.10499999999956</v>
      </c>
      <c r="G85" s="213">
        <f t="shared" ref="G85:R85" si="53">G86+G99+G108+G117</f>
        <v>14575.412</v>
      </c>
      <c r="H85" s="213">
        <f t="shared" si="53"/>
        <v>543.62200000000007</v>
      </c>
      <c r="I85" s="213">
        <f t="shared" si="53"/>
        <v>6</v>
      </c>
      <c r="J85" s="213">
        <f t="shared" si="53"/>
        <v>435.62200000000001</v>
      </c>
      <c r="K85" s="213">
        <f t="shared" si="53"/>
        <v>0</v>
      </c>
      <c r="L85" s="213">
        <f t="shared" si="53"/>
        <v>0</v>
      </c>
      <c r="M85" s="213">
        <f t="shared" si="53"/>
        <v>108</v>
      </c>
      <c r="N85" s="213">
        <f t="shared" si="53"/>
        <v>108</v>
      </c>
      <c r="O85" s="213">
        <f t="shared" si="53"/>
        <v>0</v>
      </c>
      <c r="P85" s="213">
        <f t="shared" si="53"/>
        <v>14031.79</v>
      </c>
      <c r="Q85" s="213">
        <f t="shared" si="53"/>
        <v>0</v>
      </c>
      <c r="R85" s="213">
        <f t="shared" si="53"/>
        <v>620</v>
      </c>
      <c r="S85" s="406"/>
    </row>
    <row r="86" spans="1:19" s="183" customFormat="1" ht="18" customHeight="1">
      <c r="A86" s="209" t="s">
        <v>314</v>
      </c>
      <c r="B86" s="210" t="s">
        <v>315</v>
      </c>
      <c r="C86" s="406">
        <f t="shared" ref="C86:R86" si="54">C87+C97</f>
        <v>2969.3070000000002</v>
      </c>
      <c r="D86" s="406">
        <f t="shared" si="54"/>
        <v>0</v>
      </c>
      <c r="E86" s="338">
        <f t="shared" si="54"/>
        <v>4590.4120000000003</v>
      </c>
      <c r="F86" s="406">
        <f t="shared" si="54"/>
        <v>1621.105</v>
      </c>
      <c r="G86" s="406">
        <f t="shared" si="54"/>
        <v>4590.4120000000003</v>
      </c>
      <c r="H86" s="406">
        <f t="shared" si="54"/>
        <v>543.62200000000007</v>
      </c>
      <c r="I86" s="406">
        <f t="shared" si="54"/>
        <v>6</v>
      </c>
      <c r="J86" s="406">
        <f t="shared" si="54"/>
        <v>435.62200000000001</v>
      </c>
      <c r="K86" s="406">
        <f t="shared" si="54"/>
        <v>0</v>
      </c>
      <c r="L86" s="406">
        <f t="shared" si="54"/>
        <v>0</v>
      </c>
      <c r="M86" s="406">
        <f t="shared" si="54"/>
        <v>108</v>
      </c>
      <c r="N86" s="406">
        <f t="shared" si="54"/>
        <v>108</v>
      </c>
      <c r="O86" s="406">
        <f t="shared" si="54"/>
        <v>0</v>
      </c>
      <c r="P86" s="406">
        <f t="shared" si="54"/>
        <v>4046.79</v>
      </c>
      <c r="Q86" s="406">
        <f t="shared" si="54"/>
        <v>0</v>
      </c>
      <c r="R86" s="406">
        <f t="shared" si="54"/>
        <v>0</v>
      </c>
      <c r="S86" s="406"/>
    </row>
    <row r="87" spans="1:19" s="228" customFormat="1" ht="18" customHeight="1">
      <c r="A87" s="209" t="s">
        <v>299</v>
      </c>
      <c r="B87" s="210" t="s">
        <v>316</v>
      </c>
      <c r="C87" s="406">
        <f>SUM(C88:C96)</f>
        <v>2939.9270000000001</v>
      </c>
      <c r="D87" s="211">
        <f>SUM(D88:D96)</f>
        <v>0</v>
      </c>
      <c r="E87" s="338">
        <f>SUM(E88:E98)</f>
        <v>4590.4120000000003</v>
      </c>
      <c r="F87" s="212">
        <f t="shared" si="34"/>
        <v>1650.4850000000001</v>
      </c>
      <c r="G87" s="406">
        <f t="shared" ref="G87:P87" si="55">SUM(G88:G98)</f>
        <v>4590.4120000000003</v>
      </c>
      <c r="H87" s="406">
        <f t="shared" si="55"/>
        <v>543.62200000000007</v>
      </c>
      <c r="I87" s="406">
        <f t="shared" si="55"/>
        <v>6</v>
      </c>
      <c r="J87" s="406">
        <f t="shared" si="55"/>
        <v>435.62200000000001</v>
      </c>
      <c r="K87" s="406">
        <f t="shared" si="55"/>
        <v>0</v>
      </c>
      <c r="L87" s="406">
        <f t="shared" si="55"/>
        <v>0</v>
      </c>
      <c r="M87" s="406">
        <f t="shared" si="55"/>
        <v>108</v>
      </c>
      <c r="N87" s="406">
        <f t="shared" si="55"/>
        <v>108</v>
      </c>
      <c r="O87" s="406">
        <f t="shared" si="55"/>
        <v>0</v>
      </c>
      <c r="P87" s="406">
        <f t="shared" si="55"/>
        <v>4046.79</v>
      </c>
      <c r="Q87" s="213">
        <f>SUM(Q88:Q96)</f>
        <v>0</v>
      </c>
      <c r="R87" s="213">
        <f>SUM(R88:R96)</f>
        <v>0</v>
      </c>
      <c r="S87" s="406" t="s">
        <v>317</v>
      </c>
    </row>
    <row r="88" spans="1:19" s="183" customFormat="1" ht="18" customHeight="1">
      <c r="A88" s="214" t="s">
        <v>257</v>
      </c>
      <c r="B88" s="210" t="s">
        <v>817</v>
      </c>
      <c r="C88" s="406">
        <v>414.09300000000002</v>
      </c>
      <c r="D88" s="211"/>
      <c r="E88" s="338">
        <f t="shared" ref="E88:E98" si="56">G88+R88</f>
        <v>425.262</v>
      </c>
      <c r="F88" s="212">
        <f t="shared" si="34"/>
        <v>11.168999999999983</v>
      </c>
      <c r="G88" s="213">
        <f t="shared" ref="G88:G98" si="57">H88+P88+Q88</f>
        <v>425.262</v>
      </c>
      <c r="H88" s="213">
        <f t="shared" ref="H88:H97" si="58">J88+M88</f>
        <v>425.262</v>
      </c>
      <c r="I88" s="213">
        <v>6</v>
      </c>
      <c r="J88" s="213">
        <v>425.262</v>
      </c>
      <c r="K88" s="213"/>
      <c r="L88" s="213"/>
      <c r="M88" s="213">
        <f t="shared" ref="M88:M97" si="59">N88+O88</f>
        <v>0</v>
      </c>
      <c r="N88" s="213"/>
      <c r="O88" s="213"/>
      <c r="P88" s="213"/>
      <c r="Q88" s="213"/>
      <c r="R88" s="213"/>
      <c r="S88" s="620" t="s">
        <v>317</v>
      </c>
    </row>
    <row r="89" spans="1:19" s="183" customFormat="1" ht="18" customHeight="1">
      <c r="A89" s="214" t="s">
        <v>257</v>
      </c>
      <c r="B89" s="210" t="s">
        <v>318</v>
      </c>
      <c r="C89" s="406">
        <v>5.3639999999999999</v>
      </c>
      <c r="D89" s="211"/>
      <c r="E89" s="338">
        <f t="shared" si="56"/>
        <v>5.36</v>
      </c>
      <c r="F89" s="212">
        <f t="shared" si="34"/>
        <v>-3.9999999999995595E-3</v>
      </c>
      <c r="G89" s="213">
        <f t="shared" si="57"/>
        <v>5.36</v>
      </c>
      <c r="H89" s="213">
        <f t="shared" si="58"/>
        <v>5.36</v>
      </c>
      <c r="I89" s="213"/>
      <c r="J89" s="213">
        <v>5.36</v>
      </c>
      <c r="K89" s="213"/>
      <c r="L89" s="213"/>
      <c r="M89" s="213">
        <f t="shared" si="59"/>
        <v>0</v>
      </c>
      <c r="N89" s="213"/>
      <c r="O89" s="213"/>
      <c r="P89" s="213"/>
      <c r="Q89" s="213"/>
      <c r="R89" s="213"/>
      <c r="S89" s="589"/>
    </row>
    <row r="90" spans="1:19" s="183" customFormat="1" ht="27" customHeight="1">
      <c r="A90" s="214" t="s">
        <v>257</v>
      </c>
      <c r="B90" s="215" t="s">
        <v>292</v>
      </c>
      <c r="C90" s="406">
        <v>4.47</v>
      </c>
      <c r="D90" s="211"/>
      <c r="E90" s="338">
        <f t="shared" si="56"/>
        <v>5</v>
      </c>
      <c r="F90" s="212">
        <f t="shared" si="34"/>
        <v>0.53000000000000025</v>
      </c>
      <c r="G90" s="213">
        <f t="shared" si="57"/>
        <v>5</v>
      </c>
      <c r="H90" s="213">
        <f t="shared" si="58"/>
        <v>5</v>
      </c>
      <c r="I90" s="213"/>
      <c r="J90" s="213">
        <v>5</v>
      </c>
      <c r="K90" s="213"/>
      <c r="L90" s="213"/>
      <c r="M90" s="213">
        <f t="shared" si="59"/>
        <v>0</v>
      </c>
      <c r="N90" s="213"/>
      <c r="O90" s="213"/>
      <c r="P90" s="213"/>
      <c r="Q90" s="213"/>
      <c r="R90" s="213"/>
      <c r="S90" s="589"/>
    </row>
    <row r="91" spans="1:19" s="183" customFormat="1" ht="18" customHeight="1">
      <c r="A91" s="214" t="s">
        <v>257</v>
      </c>
      <c r="B91" s="210" t="s">
        <v>818</v>
      </c>
      <c r="C91" s="406">
        <v>96</v>
      </c>
      <c r="D91" s="211"/>
      <c r="E91" s="338">
        <f t="shared" si="56"/>
        <v>108</v>
      </c>
      <c r="F91" s="212">
        <f t="shared" si="34"/>
        <v>12</v>
      </c>
      <c r="G91" s="213">
        <f t="shared" si="57"/>
        <v>108</v>
      </c>
      <c r="H91" s="213">
        <f t="shared" si="58"/>
        <v>108</v>
      </c>
      <c r="I91" s="213">
        <v>0</v>
      </c>
      <c r="J91" s="213">
        <f t="shared" si="30"/>
        <v>0</v>
      </c>
      <c r="K91" s="213">
        <v>0</v>
      </c>
      <c r="L91" s="213"/>
      <c r="M91" s="213">
        <f t="shared" si="59"/>
        <v>108</v>
      </c>
      <c r="N91" s="213">
        <f>6*18</f>
        <v>108</v>
      </c>
      <c r="O91" s="213">
        <v>0</v>
      </c>
      <c r="P91" s="213">
        <v>0</v>
      </c>
      <c r="Q91" s="213"/>
      <c r="R91" s="213"/>
      <c r="S91" s="589"/>
    </row>
    <row r="92" spans="1:19" s="183" customFormat="1" ht="24" customHeight="1">
      <c r="A92" s="214" t="s">
        <v>257</v>
      </c>
      <c r="B92" s="215" t="s">
        <v>822</v>
      </c>
      <c r="C92" s="406">
        <v>1750</v>
      </c>
      <c r="D92" s="211"/>
      <c r="E92" s="338">
        <f t="shared" si="56"/>
        <v>1000</v>
      </c>
      <c r="F92" s="212">
        <f t="shared" si="34"/>
        <v>-750</v>
      </c>
      <c r="G92" s="213">
        <f t="shared" si="57"/>
        <v>1000</v>
      </c>
      <c r="H92" s="213">
        <f t="shared" si="58"/>
        <v>0</v>
      </c>
      <c r="I92" s="213"/>
      <c r="J92" s="213">
        <f t="shared" si="30"/>
        <v>0</v>
      </c>
      <c r="K92" s="213"/>
      <c r="L92" s="213"/>
      <c r="M92" s="213">
        <f t="shared" si="59"/>
        <v>0</v>
      </c>
      <c r="N92" s="213">
        <v>0</v>
      </c>
      <c r="O92" s="213">
        <v>0</v>
      </c>
      <c r="P92" s="213">
        <v>1000</v>
      </c>
      <c r="Q92" s="213"/>
      <c r="R92" s="213"/>
      <c r="S92" s="589"/>
    </row>
    <row r="93" spans="1:19" s="183" customFormat="1" ht="28.5" customHeight="1">
      <c r="A93" s="214" t="s">
        <v>257</v>
      </c>
      <c r="B93" s="215" t="s">
        <v>320</v>
      </c>
      <c r="C93" s="406">
        <v>500</v>
      </c>
      <c r="D93" s="211"/>
      <c r="E93" s="338">
        <f t="shared" si="56"/>
        <v>500</v>
      </c>
      <c r="F93" s="212">
        <f t="shared" si="34"/>
        <v>0</v>
      </c>
      <c r="G93" s="213">
        <f t="shared" si="57"/>
        <v>500</v>
      </c>
      <c r="H93" s="213">
        <f t="shared" si="58"/>
        <v>0</v>
      </c>
      <c r="I93" s="213"/>
      <c r="J93" s="213">
        <f t="shared" si="30"/>
        <v>0</v>
      </c>
      <c r="K93" s="213"/>
      <c r="L93" s="213"/>
      <c r="M93" s="213">
        <f t="shared" si="59"/>
        <v>0</v>
      </c>
      <c r="N93" s="213"/>
      <c r="O93" s="213"/>
      <c r="P93" s="213">
        <v>500</v>
      </c>
      <c r="Q93" s="213"/>
      <c r="R93" s="213"/>
      <c r="S93" s="589"/>
    </row>
    <row r="94" spans="1:19" s="183" customFormat="1" ht="25.5" customHeight="1">
      <c r="A94" s="214" t="s">
        <v>257</v>
      </c>
      <c r="B94" s="210" t="s">
        <v>321</v>
      </c>
      <c r="C94" s="406">
        <v>20</v>
      </c>
      <c r="D94" s="211"/>
      <c r="E94" s="338">
        <f>G94+R94</f>
        <v>20</v>
      </c>
      <c r="F94" s="212">
        <f t="shared" si="34"/>
        <v>0</v>
      </c>
      <c r="G94" s="213">
        <f>H94+P94+Q94</f>
        <v>20</v>
      </c>
      <c r="H94" s="213">
        <f>J94+M94</f>
        <v>0</v>
      </c>
      <c r="I94" s="213"/>
      <c r="J94" s="213">
        <f>K94+L94</f>
        <v>0</v>
      </c>
      <c r="K94" s="213"/>
      <c r="L94" s="213"/>
      <c r="M94" s="213">
        <f>N94+O94</f>
        <v>0</v>
      </c>
      <c r="N94" s="213"/>
      <c r="O94" s="213">
        <v>0</v>
      </c>
      <c r="P94" s="213">
        <v>20</v>
      </c>
      <c r="Q94" s="213"/>
      <c r="R94" s="213"/>
      <c r="S94" s="589"/>
    </row>
    <row r="95" spans="1:19" s="183" customFormat="1" ht="27" customHeight="1">
      <c r="A95" s="214" t="s">
        <v>257</v>
      </c>
      <c r="B95" s="210" t="s">
        <v>322</v>
      </c>
      <c r="C95" s="406">
        <v>120</v>
      </c>
      <c r="D95" s="211"/>
      <c r="E95" s="338">
        <f>G95+R95</f>
        <v>120</v>
      </c>
      <c r="F95" s="212">
        <f t="shared" si="34"/>
        <v>0</v>
      </c>
      <c r="G95" s="213">
        <f>H95+P95+Q95</f>
        <v>120</v>
      </c>
      <c r="H95" s="213">
        <f>J95+M95</f>
        <v>0</v>
      </c>
      <c r="I95" s="213"/>
      <c r="J95" s="213">
        <f>K95+L95</f>
        <v>0</v>
      </c>
      <c r="K95" s="213"/>
      <c r="L95" s="213"/>
      <c r="M95" s="213">
        <f>N95+O95</f>
        <v>0</v>
      </c>
      <c r="N95" s="213"/>
      <c r="O95" s="213">
        <v>0</v>
      </c>
      <c r="P95" s="213">
        <v>120</v>
      </c>
      <c r="Q95" s="213"/>
      <c r="R95" s="213"/>
      <c r="S95" s="589"/>
    </row>
    <row r="96" spans="1:19" s="183" customFormat="1" ht="18" customHeight="1">
      <c r="A96" s="214" t="s">
        <v>257</v>
      </c>
      <c r="B96" s="210" t="s">
        <v>323</v>
      </c>
      <c r="C96" s="406">
        <v>30</v>
      </c>
      <c r="D96" s="211"/>
      <c r="E96" s="338">
        <f t="shared" si="56"/>
        <v>30</v>
      </c>
      <c r="F96" s="212">
        <f t="shared" si="34"/>
        <v>0</v>
      </c>
      <c r="G96" s="213">
        <f t="shared" si="57"/>
        <v>30</v>
      </c>
      <c r="H96" s="213">
        <f t="shared" si="58"/>
        <v>0</v>
      </c>
      <c r="I96" s="213"/>
      <c r="J96" s="213">
        <f t="shared" si="30"/>
        <v>0</v>
      </c>
      <c r="K96" s="213"/>
      <c r="L96" s="213"/>
      <c r="M96" s="213">
        <f t="shared" si="59"/>
        <v>0</v>
      </c>
      <c r="N96" s="213"/>
      <c r="O96" s="213">
        <v>0</v>
      </c>
      <c r="P96" s="213">
        <v>30</v>
      </c>
      <c r="Q96" s="213"/>
      <c r="R96" s="213"/>
      <c r="S96" s="589"/>
    </row>
    <row r="97" spans="1:19" s="183" customFormat="1" ht="38.25" customHeight="1">
      <c r="A97" s="214" t="s">
        <v>299</v>
      </c>
      <c r="B97" s="215" t="s">
        <v>324</v>
      </c>
      <c r="C97" s="406">
        <v>29.38</v>
      </c>
      <c r="D97" s="211"/>
      <c r="E97" s="338">
        <f t="shared" si="56"/>
        <v>0</v>
      </c>
      <c r="F97" s="212">
        <f t="shared" si="34"/>
        <v>-29.38</v>
      </c>
      <c r="G97" s="213">
        <f t="shared" si="57"/>
        <v>0</v>
      </c>
      <c r="H97" s="213">
        <f t="shared" si="58"/>
        <v>0</v>
      </c>
      <c r="I97" s="213"/>
      <c r="J97" s="213">
        <f t="shared" si="30"/>
        <v>0</v>
      </c>
      <c r="K97" s="213"/>
      <c r="L97" s="213"/>
      <c r="M97" s="213">
        <f t="shared" si="59"/>
        <v>0</v>
      </c>
      <c r="N97" s="213"/>
      <c r="O97" s="213">
        <v>0</v>
      </c>
      <c r="P97" s="213">
        <v>0</v>
      </c>
      <c r="Q97" s="213"/>
      <c r="R97" s="213"/>
      <c r="S97" s="406" t="s">
        <v>325</v>
      </c>
    </row>
    <row r="98" spans="1:19" s="183" customFormat="1" ht="29.25" customHeight="1">
      <c r="A98" s="214" t="s">
        <v>299</v>
      </c>
      <c r="B98" s="229" t="s">
        <v>823</v>
      </c>
      <c r="C98" s="406"/>
      <c r="D98" s="211"/>
      <c r="E98" s="338">
        <f t="shared" si="56"/>
        <v>2376.79</v>
      </c>
      <c r="F98" s="212">
        <f t="shared" si="34"/>
        <v>2376.79</v>
      </c>
      <c r="G98" s="213">
        <f t="shared" si="57"/>
        <v>2376.79</v>
      </c>
      <c r="H98" s="213"/>
      <c r="I98" s="213"/>
      <c r="J98" s="213"/>
      <c r="K98" s="213"/>
      <c r="L98" s="213"/>
      <c r="M98" s="213"/>
      <c r="N98" s="213"/>
      <c r="O98" s="213"/>
      <c r="P98" s="213">
        <v>2376.79</v>
      </c>
      <c r="Q98" s="213"/>
      <c r="R98" s="213"/>
      <c r="S98" s="406"/>
    </row>
    <row r="99" spans="1:19" s="183" customFormat="1" ht="18" customHeight="1">
      <c r="A99" s="209" t="s">
        <v>326</v>
      </c>
      <c r="B99" s="210" t="s">
        <v>327</v>
      </c>
      <c r="C99" s="406">
        <f>SUM(C100:C107)</f>
        <v>6909</v>
      </c>
      <c r="D99" s="406">
        <f t="shared" ref="D99:R99" si="60">SUM(D100:D107)</f>
        <v>0</v>
      </c>
      <c r="E99" s="406">
        <f t="shared" si="60"/>
        <v>7525</v>
      </c>
      <c r="F99" s="406">
        <f t="shared" si="60"/>
        <v>616</v>
      </c>
      <c r="G99" s="406">
        <f t="shared" si="60"/>
        <v>7525</v>
      </c>
      <c r="H99" s="406">
        <f t="shared" si="60"/>
        <v>0</v>
      </c>
      <c r="I99" s="406">
        <f t="shared" si="60"/>
        <v>0</v>
      </c>
      <c r="J99" s="406">
        <f t="shared" si="60"/>
        <v>0</v>
      </c>
      <c r="K99" s="406">
        <f t="shared" si="60"/>
        <v>0</v>
      </c>
      <c r="L99" s="406">
        <f t="shared" si="60"/>
        <v>0</v>
      </c>
      <c r="M99" s="406">
        <f t="shared" si="60"/>
        <v>0</v>
      </c>
      <c r="N99" s="406">
        <f t="shared" si="60"/>
        <v>0</v>
      </c>
      <c r="O99" s="406">
        <f t="shared" si="60"/>
        <v>0</v>
      </c>
      <c r="P99" s="406">
        <f t="shared" si="60"/>
        <v>7525</v>
      </c>
      <c r="Q99" s="406">
        <f t="shared" si="60"/>
        <v>0</v>
      </c>
      <c r="R99" s="406">
        <f t="shared" si="60"/>
        <v>0</v>
      </c>
      <c r="S99" s="406"/>
    </row>
    <row r="100" spans="1:19" s="183" customFormat="1" ht="44.25" customHeight="1">
      <c r="A100" s="214" t="s">
        <v>257</v>
      </c>
      <c r="B100" s="397" t="s">
        <v>812</v>
      </c>
      <c r="C100" s="406">
        <v>5670</v>
      </c>
      <c r="D100" s="211"/>
      <c r="E100" s="338">
        <f>G100+R100</f>
        <v>0</v>
      </c>
      <c r="F100" s="212">
        <f t="shared" ref="F100" si="61">E100-C100</f>
        <v>-5670</v>
      </c>
      <c r="G100" s="213">
        <f t="shared" ref="G100" si="62">H100+P100+Q100</f>
        <v>0</v>
      </c>
      <c r="H100" s="213">
        <f t="shared" ref="H100" si="63">J100+M100</f>
        <v>0</v>
      </c>
      <c r="I100" s="213"/>
      <c r="J100" s="213">
        <f t="shared" ref="J100" si="64">K100+L100</f>
        <v>0</v>
      </c>
      <c r="K100" s="213"/>
      <c r="L100" s="213"/>
      <c r="M100" s="213">
        <f t="shared" ref="M100" si="65">N100+O100</f>
        <v>0</v>
      </c>
      <c r="N100" s="213"/>
      <c r="O100" s="213">
        <v>0</v>
      </c>
      <c r="P100" s="398"/>
      <c r="Q100" s="213"/>
      <c r="R100" s="213"/>
      <c r="S100" s="231" t="s">
        <v>262</v>
      </c>
    </row>
    <row r="101" spans="1:19" s="183" customFormat="1" ht="44.25" customHeight="1">
      <c r="A101" s="214" t="s">
        <v>257</v>
      </c>
      <c r="B101" s="397" t="s">
        <v>806</v>
      </c>
      <c r="C101" s="406"/>
      <c r="D101" s="211"/>
      <c r="E101" s="338">
        <f>G101+R101</f>
        <v>425</v>
      </c>
      <c r="F101" s="212">
        <f t="shared" si="34"/>
        <v>425</v>
      </c>
      <c r="G101" s="213">
        <f t="shared" ref="G101:G107" si="66">H101+P101+Q101</f>
        <v>425</v>
      </c>
      <c r="H101" s="213">
        <f t="shared" ref="H101:H107" si="67">J101+M101</f>
        <v>0</v>
      </c>
      <c r="I101" s="213"/>
      <c r="J101" s="213">
        <f t="shared" si="30"/>
        <v>0</v>
      </c>
      <c r="K101" s="213"/>
      <c r="L101" s="213"/>
      <c r="M101" s="213">
        <f t="shared" ref="M101:M107" si="68">N101+O101</f>
        <v>0</v>
      </c>
      <c r="N101" s="213"/>
      <c r="O101" s="213">
        <v>0</v>
      </c>
      <c r="P101" s="398">
        <v>425</v>
      </c>
      <c r="Q101" s="213"/>
      <c r="R101" s="213"/>
      <c r="S101" s="231" t="s">
        <v>262</v>
      </c>
    </row>
    <row r="102" spans="1:19" s="183" customFormat="1" ht="41.25" customHeight="1">
      <c r="A102" s="214" t="s">
        <v>257</v>
      </c>
      <c r="B102" s="397" t="s">
        <v>807</v>
      </c>
      <c r="C102" s="406"/>
      <c r="D102" s="211"/>
      <c r="E102" s="338">
        <f t="shared" ref="E102:E104" si="69">G102+R102</f>
        <v>2900</v>
      </c>
      <c r="F102" s="212">
        <f t="shared" ref="F102:F104" si="70">E102-C102</f>
        <v>2900</v>
      </c>
      <c r="G102" s="213">
        <f t="shared" ref="G102:G104" si="71">H102+P102+Q102</f>
        <v>2900</v>
      </c>
      <c r="H102" s="213">
        <f t="shared" ref="H102:H104" si="72">J102+M102</f>
        <v>0</v>
      </c>
      <c r="I102" s="213"/>
      <c r="J102" s="213">
        <f t="shared" ref="J102:J104" si="73">K102+L102</f>
        <v>0</v>
      </c>
      <c r="K102" s="213"/>
      <c r="L102" s="213"/>
      <c r="M102" s="213">
        <f t="shared" ref="M102:M104" si="74">N102+O102</f>
        <v>0</v>
      </c>
      <c r="N102" s="213"/>
      <c r="O102" s="213">
        <v>0</v>
      </c>
      <c r="P102" s="398">
        <v>2900</v>
      </c>
      <c r="Q102" s="213"/>
      <c r="R102" s="213"/>
      <c r="S102" s="231" t="s">
        <v>262</v>
      </c>
    </row>
    <row r="103" spans="1:19" s="183" customFormat="1" ht="49.5" customHeight="1">
      <c r="A103" s="214" t="s">
        <v>257</v>
      </c>
      <c r="B103" s="397" t="s">
        <v>808</v>
      </c>
      <c r="C103" s="406"/>
      <c r="D103" s="211"/>
      <c r="E103" s="338">
        <f t="shared" si="69"/>
        <v>2950</v>
      </c>
      <c r="F103" s="212">
        <f t="shared" si="70"/>
        <v>2950</v>
      </c>
      <c r="G103" s="213">
        <f t="shared" si="71"/>
        <v>2950</v>
      </c>
      <c r="H103" s="213">
        <f t="shared" si="72"/>
        <v>0</v>
      </c>
      <c r="I103" s="213"/>
      <c r="J103" s="213">
        <f t="shared" si="73"/>
        <v>0</v>
      </c>
      <c r="K103" s="213"/>
      <c r="L103" s="213"/>
      <c r="M103" s="213">
        <f t="shared" si="74"/>
        <v>0</v>
      </c>
      <c r="N103" s="213"/>
      <c r="O103" s="213">
        <v>0</v>
      </c>
      <c r="P103" s="398">
        <v>2950</v>
      </c>
      <c r="Q103" s="213"/>
      <c r="R103" s="213"/>
      <c r="S103" s="231" t="s">
        <v>262</v>
      </c>
    </row>
    <row r="104" spans="1:19" s="183" customFormat="1" ht="28.5" customHeight="1">
      <c r="A104" s="214" t="s">
        <v>257</v>
      </c>
      <c r="B104" s="397" t="s">
        <v>809</v>
      </c>
      <c r="C104" s="406"/>
      <c r="D104" s="211"/>
      <c r="E104" s="338">
        <f t="shared" si="69"/>
        <v>700</v>
      </c>
      <c r="F104" s="212">
        <f t="shared" si="70"/>
        <v>700</v>
      </c>
      <c r="G104" s="213">
        <f t="shared" si="71"/>
        <v>700</v>
      </c>
      <c r="H104" s="213">
        <f t="shared" si="72"/>
        <v>0</v>
      </c>
      <c r="I104" s="213"/>
      <c r="J104" s="213">
        <f t="shared" si="73"/>
        <v>0</v>
      </c>
      <c r="K104" s="213"/>
      <c r="L104" s="213"/>
      <c r="M104" s="213">
        <f t="shared" si="74"/>
        <v>0</v>
      </c>
      <c r="N104" s="213"/>
      <c r="O104" s="213">
        <v>0</v>
      </c>
      <c r="P104" s="398">
        <v>700</v>
      </c>
      <c r="Q104" s="213"/>
      <c r="R104" s="213"/>
      <c r="S104" s="231" t="s">
        <v>262</v>
      </c>
    </row>
    <row r="105" spans="1:19" s="237" customFormat="1" ht="39.75" customHeight="1">
      <c r="A105" s="232" t="s">
        <v>257</v>
      </c>
      <c r="B105" s="233" t="s">
        <v>328</v>
      </c>
      <c r="C105" s="234">
        <v>400</v>
      </c>
      <c r="D105" s="235"/>
      <c r="E105" s="338">
        <f>G105+R105</f>
        <v>0</v>
      </c>
      <c r="F105" s="212">
        <f t="shared" si="34"/>
        <v>-400</v>
      </c>
      <c r="G105" s="213">
        <f>H105+P105+Q105</f>
        <v>0</v>
      </c>
      <c r="H105" s="213">
        <f>J105+M105</f>
        <v>0</v>
      </c>
      <c r="I105" s="213"/>
      <c r="J105" s="213">
        <f>K105+L105</f>
        <v>0</v>
      </c>
      <c r="K105" s="213"/>
      <c r="L105" s="213"/>
      <c r="M105" s="213">
        <f>N105+O105</f>
        <v>0</v>
      </c>
      <c r="N105" s="213"/>
      <c r="O105" s="213">
        <v>0</v>
      </c>
      <c r="P105" s="213"/>
      <c r="Q105" s="213"/>
      <c r="R105" s="213"/>
      <c r="S105" s="236" t="s">
        <v>262</v>
      </c>
    </row>
    <row r="106" spans="1:19" s="237" customFormat="1" ht="55.5" customHeight="1">
      <c r="A106" s="232" t="s">
        <v>257</v>
      </c>
      <c r="B106" s="399" t="s">
        <v>810</v>
      </c>
      <c r="C106" s="234">
        <v>539</v>
      </c>
      <c r="D106" s="235"/>
      <c r="E106" s="338">
        <f>G106+R106</f>
        <v>550</v>
      </c>
      <c r="F106" s="212">
        <f t="shared" si="34"/>
        <v>11</v>
      </c>
      <c r="G106" s="213">
        <f>H106+P106+Q106</f>
        <v>550</v>
      </c>
      <c r="H106" s="213">
        <f>J106+M106</f>
        <v>0</v>
      </c>
      <c r="I106" s="213"/>
      <c r="J106" s="213">
        <f>K106+L106</f>
        <v>0</v>
      </c>
      <c r="K106" s="213"/>
      <c r="L106" s="213"/>
      <c r="M106" s="213">
        <f>N106+O106</f>
        <v>0</v>
      </c>
      <c r="N106" s="213"/>
      <c r="O106" s="213">
        <v>0</v>
      </c>
      <c r="P106" s="213">
        <v>550</v>
      </c>
      <c r="Q106" s="213"/>
      <c r="R106" s="213"/>
      <c r="S106" s="238" t="s">
        <v>262</v>
      </c>
    </row>
    <row r="107" spans="1:19" s="183" customFormat="1" ht="27" customHeight="1">
      <c r="A107" s="214" t="s">
        <v>257</v>
      </c>
      <c r="B107" s="215" t="s">
        <v>569</v>
      </c>
      <c r="C107" s="406">
        <v>300</v>
      </c>
      <c r="D107" s="211"/>
      <c r="E107" s="338">
        <f t="shared" ref="E107" si="75">G107+R107</f>
        <v>0</v>
      </c>
      <c r="F107" s="212">
        <f t="shared" si="34"/>
        <v>-300</v>
      </c>
      <c r="G107" s="213">
        <f t="shared" si="66"/>
        <v>0</v>
      </c>
      <c r="H107" s="213">
        <f t="shared" si="67"/>
        <v>0</v>
      </c>
      <c r="I107" s="213"/>
      <c r="J107" s="213">
        <f t="shared" si="30"/>
        <v>0</v>
      </c>
      <c r="K107" s="213"/>
      <c r="L107" s="213"/>
      <c r="M107" s="213">
        <f t="shared" si="68"/>
        <v>0</v>
      </c>
      <c r="N107" s="213"/>
      <c r="O107" s="213">
        <v>0</v>
      </c>
      <c r="P107" s="213"/>
      <c r="Q107" s="213"/>
      <c r="R107" s="213"/>
      <c r="S107" s="406" t="s">
        <v>295</v>
      </c>
    </row>
    <row r="108" spans="1:19" s="183" customFormat="1" ht="18" customHeight="1">
      <c r="A108" s="209" t="s">
        <v>329</v>
      </c>
      <c r="B108" s="210" t="s">
        <v>330</v>
      </c>
      <c r="C108" s="406">
        <f>SUM(C109:C116)</f>
        <v>4650</v>
      </c>
      <c r="D108" s="211"/>
      <c r="E108" s="338">
        <f>SUM(E109:E116)</f>
        <v>2680</v>
      </c>
      <c r="F108" s="212">
        <f t="shared" si="34"/>
        <v>-1970</v>
      </c>
      <c r="G108" s="406">
        <f t="shared" ref="G108:R108" si="76">SUM(G109:G116)</f>
        <v>2060</v>
      </c>
      <c r="H108" s="406">
        <f t="shared" si="76"/>
        <v>0</v>
      </c>
      <c r="I108" s="406">
        <f t="shared" si="76"/>
        <v>0</v>
      </c>
      <c r="J108" s="406">
        <f t="shared" si="76"/>
        <v>0</v>
      </c>
      <c r="K108" s="406">
        <f t="shared" si="76"/>
        <v>0</v>
      </c>
      <c r="L108" s="406">
        <f t="shared" si="76"/>
        <v>0</v>
      </c>
      <c r="M108" s="406">
        <f t="shared" si="76"/>
        <v>0</v>
      </c>
      <c r="N108" s="406">
        <f t="shared" si="76"/>
        <v>0</v>
      </c>
      <c r="O108" s="406">
        <f t="shared" si="76"/>
        <v>0</v>
      </c>
      <c r="P108" s="406">
        <f t="shared" si="76"/>
        <v>2060</v>
      </c>
      <c r="Q108" s="406">
        <f t="shared" si="76"/>
        <v>0</v>
      </c>
      <c r="R108" s="406">
        <f t="shared" si="76"/>
        <v>620</v>
      </c>
      <c r="S108" s="406"/>
    </row>
    <row r="109" spans="1:19" s="183" customFormat="1" ht="97.5" customHeight="1">
      <c r="A109" s="214"/>
      <c r="B109" s="233" t="s">
        <v>761</v>
      </c>
      <c r="C109" s="234">
        <v>850</v>
      </c>
      <c r="D109" s="235"/>
      <c r="E109" s="338">
        <f>G109+R109</f>
        <v>0</v>
      </c>
      <c r="F109" s="212">
        <f t="shared" si="34"/>
        <v>-850</v>
      </c>
      <c r="G109" s="213">
        <f>H109+P109+Q109</f>
        <v>0</v>
      </c>
      <c r="H109" s="213">
        <f>J109+M109</f>
        <v>0</v>
      </c>
      <c r="I109" s="213"/>
      <c r="J109" s="213">
        <f>K109+L109</f>
        <v>0</v>
      </c>
      <c r="K109" s="213"/>
      <c r="L109" s="213"/>
      <c r="M109" s="213">
        <f>N109+O109</f>
        <v>0</v>
      </c>
      <c r="N109" s="213"/>
      <c r="O109" s="213">
        <v>0</v>
      </c>
      <c r="P109" s="213"/>
      <c r="Q109" s="213"/>
      <c r="R109" s="213"/>
      <c r="S109" s="231"/>
    </row>
    <row r="110" spans="1:19" s="183" customFormat="1" ht="36" customHeight="1">
      <c r="A110" s="214"/>
      <c r="B110" s="239" t="s">
        <v>760</v>
      </c>
      <c r="C110" s="234">
        <v>700</v>
      </c>
      <c r="D110" s="235"/>
      <c r="E110" s="338">
        <f t="shared" ref="E110:E116" si="77">G110+R110</f>
        <v>0</v>
      </c>
      <c r="F110" s="212">
        <f t="shared" si="34"/>
        <v>-700</v>
      </c>
      <c r="G110" s="213">
        <f t="shared" ref="G110:G116" si="78">H110+P110+Q110</f>
        <v>0</v>
      </c>
      <c r="H110" s="213">
        <f t="shared" ref="H110:H116" si="79">J110+M110</f>
        <v>0</v>
      </c>
      <c r="I110" s="213"/>
      <c r="J110" s="213">
        <f>K110+L110</f>
        <v>0</v>
      </c>
      <c r="K110" s="213"/>
      <c r="L110" s="213"/>
      <c r="M110" s="213">
        <f t="shared" ref="M110:M116" si="80">N110+O110</f>
        <v>0</v>
      </c>
      <c r="N110" s="213"/>
      <c r="O110" s="213">
        <v>0</v>
      </c>
      <c r="P110" s="213"/>
      <c r="Q110" s="213"/>
      <c r="R110" s="213"/>
      <c r="S110" s="406"/>
    </row>
    <row r="111" spans="1:19" s="183" customFormat="1" ht="39.75" customHeight="1">
      <c r="A111" s="214" t="s">
        <v>257</v>
      </c>
      <c r="B111" s="215" t="s">
        <v>669</v>
      </c>
      <c r="C111" s="406">
        <v>700</v>
      </c>
      <c r="D111" s="211"/>
      <c r="E111" s="338">
        <f t="shared" si="77"/>
        <v>0</v>
      </c>
      <c r="F111" s="212">
        <f t="shared" si="34"/>
        <v>-700</v>
      </c>
      <c r="G111" s="213">
        <f t="shared" si="78"/>
        <v>0</v>
      </c>
      <c r="H111" s="213">
        <f t="shared" si="79"/>
        <v>0</v>
      </c>
      <c r="I111" s="213"/>
      <c r="J111" s="213">
        <f>K111+L111</f>
        <v>0</v>
      </c>
      <c r="K111" s="213"/>
      <c r="L111" s="213"/>
      <c r="M111" s="213">
        <f t="shared" si="80"/>
        <v>0</v>
      </c>
      <c r="N111" s="213"/>
      <c r="O111" s="213">
        <v>0</v>
      </c>
      <c r="P111" s="213"/>
      <c r="Q111" s="213"/>
      <c r="R111" s="213"/>
      <c r="S111" s="406" t="s">
        <v>295</v>
      </c>
    </row>
    <row r="112" spans="1:19" s="225" customFormat="1" ht="44.25" customHeight="1">
      <c r="A112" s="214" t="s">
        <v>257</v>
      </c>
      <c r="B112" s="230" t="s">
        <v>331</v>
      </c>
      <c r="C112" s="406">
        <v>450</v>
      </c>
      <c r="D112" s="211"/>
      <c r="E112" s="338">
        <f t="shared" si="77"/>
        <v>570</v>
      </c>
      <c r="F112" s="212">
        <f t="shared" si="34"/>
        <v>120</v>
      </c>
      <c r="G112" s="213">
        <f t="shared" si="78"/>
        <v>570</v>
      </c>
      <c r="H112" s="213">
        <f t="shared" si="79"/>
        <v>0</v>
      </c>
      <c r="I112" s="213"/>
      <c r="J112" s="213">
        <f>K112+L112</f>
        <v>0</v>
      </c>
      <c r="K112" s="213"/>
      <c r="L112" s="213"/>
      <c r="M112" s="213">
        <f t="shared" si="80"/>
        <v>0</v>
      </c>
      <c r="N112" s="213"/>
      <c r="O112" s="213">
        <v>0</v>
      </c>
      <c r="P112" s="213">
        <v>570</v>
      </c>
      <c r="Q112" s="213"/>
      <c r="R112" s="213"/>
      <c r="S112" s="406" t="s">
        <v>295</v>
      </c>
    </row>
    <row r="113" spans="1:19" s="183" customFormat="1" ht="18" customHeight="1">
      <c r="A113" s="214" t="s">
        <v>257</v>
      </c>
      <c r="B113" s="210" t="s">
        <v>332</v>
      </c>
      <c r="C113" s="406">
        <v>700</v>
      </c>
      <c r="D113" s="211"/>
      <c r="E113" s="338">
        <f t="shared" si="77"/>
        <v>700</v>
      </c>
      <c r="F113" s="212">
        <f t="shared" si="34"/>
        <v>0</v>
      </c>
      <c r="G113" s="213">
        <f t="shared" si="78"/>
        <v>700</v>
      </c>
      <c r="H113" s="213"/>
      <c r="I113" s="213"/>
      <c r="J113" s="213"/>
      <c r="K113" s="213"/>
      <c r="L113" s="213"/>
      <c r="M113" s="213">
        <f t="shared" si="80"/>
        <v>0</v>
      </c>
      <c r="N113" s="213"/>
      <c r="O113" s="213">
        <v>0</v>
      </c>
      <c r="P113" s="213">
        <v>700</v>
      </c>
      <c r="Q113" s="213"/>
      <c r="R113" s="213"/>
      <c r="S113" s="406" t="s">
        <v>300</v>
      </c>
    </row>
    <row r="114" spans="1:19" s="183" customFormat="1" ht="18" customHeight="1">
      <c r="A114" s="214" t="s">
        <v>257</v>
      </c>
      <c r="B114" s="240" t="s">
        <v>333</v>
      </c>
      <c r="C114" s="406">
        <v>150</v>
      </c>
      <c r="D114" s="211"/>
      <c r="E114" s="338">
        <f t="shared" si="77"/>
        <v>150</v>
      </c>
      <c r="F114" s="212">
        <f t="shared" si="34"/>
        <v>0</v>
      </c>
      <c r="G114" s="213">
        <f t="shared" si="78"/>
        <v>30</v>
      </c>
      <c r="H114" s="213">
        <f t="shared" si="79"/>
        <v>0</v>
      </c>
      <c r="I114" s="213"/>
      <c r="J114" s="213">
        <f t="shared" si="30"/>
        <v>0</v>
      </c>
      <c r="K114" s="213"/>
      <c r="L114" s="213"/>
      <c r="M114" s="213">
        <f t="shared" si="80"/>
        <v>0</v>
      </c>
      <c r="N114" s="213"/>
      <c r="O114" s="213"/>
      <c r="P114" s="213">
        <v>30</v>
      </c>
      <c r="Q114" s="213"/>
      <c r="R114" s="213">
        <v>120</v>
      </c>
      <c r="S114" s="406" t="s">
        <v>295</v>
      </c>
    </row>
    <row r="115" spans="1:19" s="183" customFormat="1" ht="18" customHeight="1">
      <c r="A115" s="214" t="s">
        <v>257</v>
      </c>
      <c r="B115" s="241" t="s">
        <v>334</v>
      </c>
      <c r="C115" s="406"/>
      <c r="D115" s="211"/>
      <c r="E115" s="338">
        <f t="shared" si="77"/>
        <v>0</v>
      </c>
      <c r="F115" s="212">
        <f t="shared" si="34"/>
        <v>0</v>
      </c>
      <c r="G115" s="213">
        <f t="shared" si="78"/>
        <v>0</v>
      </c>
      <c r="H115" s="213">
        <f t="shared" si="79"/>
        <v>0</v>
      </c>
      <c r="I115" s="213"/>
      <c r="J115" s="213">
        <f t="shared" si="30"/>
        <v>0</v>
      </c>
      <c r="K115" s="213"/>
      <c r="L115" s="213"/>
      <c r="M115" s="213">
        <f t="shared" si="80"/>
        <v>0</v>
      </c>
      <c r="N115" s="213"/>
      <c r="O115" s="213">
        <v>0</v>
      </c>
      <c r="P115" s="213"/>
      <c r="Q115" s="213"/>
      <c r="R115" s="213"/>
      <c r="S115" s="406" t="s">
        <v>302</v>
      </c>
    </row>
    <row r="116" spans="1:19" s="183" customFormat="1" ht="18.75" customHeight="1">
      <c r="A116" s="214" t="s">
        <v>257</v>
      </c>
      <c r="B116" s="215" t="s">
        <v>335</v>
      </c>
      <c r="C116" s="406">
        <v>1100</v>
      </c>
      <c r="D116" s="211"/>
      <c r="E116" s="338">
        <f t="shared" si="77"/>
        <v>1260</v>
      </c>
      <c r="F116" s="212">
        <f t="shared" si="34"/>
        <v>160</v>
      </c>
      <c r="G116" s="213">
        <f t="shared" si="78"/>
        <v>760</v>
      </c>
      <c r="H116" s="213">
        <f t="shared" si="79"/>
        <v>0</v>
      </c>
      <c r="I116" s="213"/>
      <c r="J116" s="213">
        <f t="shared" si="30"/>
        <v>0</v>
      </c>
      <c r="K116" s="213"/>
      <c r="L116" s="213"/>
      <c r="M116" s="213">
        <f t="shared" si="80"/>
        <v>0</v>
      </c>
      <c r="N116" s="213"/>
      <c r="O116" s="213">
        <v>0</v>
      </c>
      <c r="P116" s="213">
        <f>1260-500</f>
        <v>760</v>
      </c>
      <c r="Q116" s="213"/>
      <c r="R116" s="213">
        <v>500</v>
      </c>
      <c r="S116" s="406" t="s">
        <v>336</v>
      </c>
    </row>
    <row r="117" spans="1:19" s="183" customFormat="1" ht="18" customHeight="1">
      <c r="A117" s="209" t="s">
        <v>337</v>
      </c>
      <c r="B117" s="210" t="s">
        <v>338</v>
      </c>
      <c r="C117" s="406">
        <f>SUM(C118:C120)</f>
        <v>550</v>
      </c>
      <c r="D117" s="211"/>
      <c r="E117" s="338">
        <f>SUM(E118:E120)</f>
        <v>400</v>
      </c>
      <c r="F117" s="212">
        <f t="shared" si="34"/>
        <v>-150</v>
      </c>
      <c r="G117" s="213">
        <f>SUM(G118:G120)</f>
        <v>400</v>
      </c>
      <c r="H117" s="213">
        <f>SUM(H118:H120)</f>
        <v>0</v>
      </c>
      <c r="I117" s="213">
        <f>SUM(I118:I120)</f>
        <v>0</v>
      </c>
      <c r="J117" s="213">
        <f>SUM(J118:J120)</f>
        <v>0</v>
      </c>
      <c r="K117" s="213">
        <f>SUM(K118:K120)</f>
        <v>0</v>
      </c>
      <c r="L117" s="213"/>
      <c r="M117" s="213">
        <f t="shared" ref="M117:R117" si="81">SUM(M118:M120)</f>
        <v>0</v>
      </c>
      <c r="N117" s="213">
        <f t="shared" si="81"/>
        <v>0</v>
      </c>
      <c r="O117" s="213">
        <f t="shared" si="81"/>
        <v>0</v>
      </c>
      <c r="P117" s="213">
        <f t="shared" si="81"/>
        <v>400</v>
      </c>
      <c r="Q117" s="213">
        <f t="shared" si="81"/>
        <v>0</v>
      </c>
      <c r="R117" s="213">
        <f t="shared" si="81"/>
        <v>0</v>
      </c>
      <c r="S117" s="406"/>
    </row>
    <row r="118" spans="1:19" s="183" customFormat="1" ht="27.75" customHeight="1">
      <c r="A118" s="214" t="s">
        <v>257</v>
      </c>
      <c r="B118" s="215" t="s">
        <v>825</v>
      </c>
      <c r="C118" s="406">
        <v>50</v>
      </c>
      <c r="D118" s="211"/>
      <c r="E118" s="338">
        <f>G118+R118</f>
        <v>100</v>
      </c>
      <c r="F118" s="212">
        <f t="shared" si="34"/>
        <v>50</v>
      </c>
      <c r="G118" s="213">
        <f>H118+P118+Q118</f>
        <v>100</v>
      </c>
      <c r="H118" s="213">
        <f>J118+M118</f>
        <v>0</v>
      </c>
      <c r="I118" s="213"/>
      <c r="J118" s="213">
        <f t="shared" si="30"/>
        <v>0</v>
      </c>
      <c r="K118" s="213"/>
      <c r="L118" s="213"/>
      <c r="M118" s="213">
        <f>N118+O118</f>
        <v>0</v>
      </c>
      <c r="N118" s="213"/>
      <c r="O118" s="213">
        <v>0</v>
      </c>
      <c r="P118" s="213">
        <v>100</v>
      </c>
      <c r="Q118" s="213"/>
      <c r="R118" s="213"/>
      <c r="S118" s="406" t="s">
        <v>339</v>
      </c>
    </row>
    <row r="119" spans="1:19" s="183" customFormat="1" ht="21.75" customHeight="1">
      <c r="A119" s="214" t="s">
        <v>257</v>
      </c>
      <c r="B119" s="210" t="s">
        <v>668</v>
      </c>
      <c r="C119" s="406">
        <v>300</v>
      </c>
      <c r="D119" s="211"/>
      <c r="E119" s="338">
        <f>G119+R119</f>
        <v>300</v>
      </c>
      <c r="F119" s="212">
        <f t="shared" si="34"/>
        <v>0</v>
      </c>
      <c r="G119" s="213">
        <f>H119+P119+Q119</f>
        <v>300</v>
      </c>
      <c r="H119" s="213">
        <f>J119+M119</f>
        <v>0</v>
      </c>
      <c r="I119" s="213"/>
      <c r="J119" s="213">
        <f>K119+L119</f>
        <v>0</v>
      </c>
      <c r="K119" s="213"/>
      <c r="L119" s="213"/>
      <c r="M119" s="213">
        <f>N119+O119</f>
        <v>0</v>
      </c>
      <c r="N119" s="213"/>
      <c r="O119" s="213">
        <v>0</v>
      </c>
      <c r="P119" s="213">
        <v>300</v>
      </c>
      <c r="Q119" s="213"/>
      <c r="R119" s="213"/>
      <c r="S119" s="406" t="s">
        <v>300</v>
      </c>
    </row>
    <row r="120" spans="1:19" s="183" customFormat="1" ht="18" customHeight="1">
      <c r="A120" s="214" t="s">
        <v>257</v>
      </c>
      <c r="B120" s="242" t="s">
        <v>768</v>
      </c>
      <c r="C120" s="406">
        <v>200</v>
      </c>
      <c r="D120" s="211"/>
      <c r="E120" s="338">
        <f>G120+R120</f>
        <v>0</v>
      </c>
      <c r="F120" s="212">
        <f t="shared" si="34"/>
        <v>-200</v>
      </c>
      <c r="G120" s="213">
        <f>H120+P120+Q120</f>
        <v>0</v>
      </c>
      <c r="H120" s="213">
        <f>J120+M120</f>
        <v>0</v>
      </c>
      <c r="I120" s="213"/>
      <c r="J120" s="213">
        <f>K120+L120</f>
        <v>0</v>
      </c>
      <c r="K120" s="213"/>
      <c r="L120" s="213"/>
      <c r="M120" s="213"/>
      <c r="N120" s="213"/>
      <c r="O120" s="213"/>
      <c r="P120" s="213"/>
      <c r="Q120" s="213"/>
      <c r="R120" s="213"/>
      <c r="S120" s="243"/>
    </row>
    <row r="121" spans="1:19" s="183" customFormat="1" ht="21" customHeight="1">
      <c r="A121" s="209" t="s">
        <v>340</v>
      </c>
      <c r="B121" s="210" t="s">
        <v>341</v>
      </c>
      <c r="C121" s="406">
        <f>C122+C131+C132</f>
        <v>3176.0299999999997</v>
      </c>
      <c r="D121" s="211"/>
      <c r="E121" s="338">
        <f>E122+E131+E132</f>
        <v>2803</v>
      </c>
      <c r="F121" s="212">
        <f t="shared" si="34"/>
        <v>-373.02999999999975</v>
      </c>
      <c r="G121" s="213">
        <f t="shared" ref="G121:R121" si="82">G122+G131+G132</f>
        <v>2803</v>
      </c>
      <c r="H121" s="213">
        <f t="shared" si="82"/>
        <v>1709.4</v>
      </c>
      <c r="I121" s="213">
        <f t="shared" si="82"/>
        <v>17</v>
      </c>
      <c r="J121" s="213">
        <f t="shared" si="82"/>
        <v>1393.9</v>
      </c>
      <c r="K121" s="213">
        <f t="shared" si="82"/>
        <v>0</v>
      </c>
      <c r="L121" s="213">
        <f t="shared" si="82"/>
        <v>0</v>
      </c>
      <c r="M121" s="213">
        <f t="shared" si="82"/>
        <v>315.5</v>
      </c>
      <c r="N121" s="213">
        <f t="shared" si="82"/>
        <v>315.5</v>
      </c>
      <c r="O121" s="213">
        <f t="shared" si="82"/>
        <v>0</v>
      </c>
      <c r="P121" s="213">
        <f t="shared" si="82"/>
        <v>1093.6000000000001</v>
      </c>
      <c r="Q121" s="213">
        <f t="shared" si="82"/>
        <v>0</v>
      </c>
      <c r="R121" s="213">
        <f t="shared" si="82"/>
        <v>0</v>
      </c>
      <c r="S121" s="610" t="s">
        <v>342</v>
      </c>
    </row>
    <row r="122" spans="1:19" s="183" customFormat="1" ht="18" customHeight="1">
      <c r="A122" s="209" t="s">
        <v>204</v>
      </c>
      <c r="B122" s="210" t="s">
        <v>343</v>
      </c>
      <c r="C122" s="406">
        <f>SUM(C123:C130)</f>
        <v>1602.26</v>
      </c>
      <c r="D122" s="211">
        <v>160</v>
      </c>
      <c r="E122" s="338">
        <f>SUM(E123:E130)</f>
        <v>1432</v>
      </c>
      <c r="F122" s="212">
        <f t="shared" si="34"/>
        <v>-170.26</v>
      </c>
      <c r="G122" s="213">
        <f t="shared" ref="G122:Q122" si="83">SUM(G123:G130)</f>
        <v>1432</v>
      </c>
      <c r="H122" s="213">
        <f t="shared" si="83"/>
        <v>869.59</v>
      </c>
      <c r="I122" s="213">
        <f t="shared" si="83"/>
        <v>9</v>
      </c>
      <c r="J122" s="213">
        <f t="shared" si="83"/>
        <v>698.09</v>
      </c>
      <c r="K122" s="213">
        <f t="shared" si="83"/>
        <v>0</v>
      </c>
      <c r="L122" s="213">
        <f t="shared" si="83"/>
        <v>0</v>
      </c>
      <c r="M122" s="213">
        <f t="shared" si="83"/>
        <v>171.5</v>
      </c>
      <c r="N122" s="213">
        <f t="shared" si="83"/>
        <v>171.5</v>
      </c>
      <c r="O122" s="213">
        <f t="shared" si="83"/>
        <v>0</v>
      </c>
      <c r="P122" s="213">
        <f t="shared" si="83"/>
        <v>562.41000000000008</v>
      </c>
      <c r="Q122" s="213">
        <f t="shared" si="83"/>
        <v>0</v>
      </c>
      <c r="R122" s="213"/>
      <c r="S122" s="589"/>
    </row>
    <row r="123" spans="1:19" s="183" customFormat="1" ht="16.5" customHeight="1">
      <c r="A123" s="209" t="s">
        <v>257</v>
      </c>
      <c r="B123" s="210" t="s">
        <v>344</v>
      </c>
      <c r="C123" s="406">
        <v>700.89</v>
      </c>
      <c r="D123" s="211"/>
      <c r="E123" s="338">
        <f t="shared" ref="E123:E129" si="84">G123+R123</f>
        <v>692.72</v>
      </c>
      <c r="F123" s="212">
        <f t="shared" si="34"/>
        <v>-8.1699999999999591</v>
      </c>
      <c r="G123" s="213">
        <f t="shared" ref="G123:G131" si="85">H123+P123+Q123</f>
        <v>692.72</v>
      </c>
      <c r="H123" s="213">
        <f t="shared" ref="H123:H131" si="86">J123+M123</f>
        <v>692.72</v>
      </c>
      <c r="I123" s="213">
        <v>9</v>
      </c>
      <c r="J123" s="398">
        <v>692.72</v>
      </c>
      <c r="K123" s="213"/>
      <c r="L123" s="213"/>
      <c r="M123" s="213">
        <f t="shared" ref="M123:M129" si="87">N123+O123</f>
        <v>0</v>
      </c>
      <c r="N123" s="213"/>
      <c r="O123" s="213">
        <v>0</v>
      </c>
      <c r="P123" s="213"/>
      <c r="Q123" s="213"/>
      <c r="R123" s="213"/>
      <c r="S123" s="589"/>
    </row>
    <row r="124" spans="1:19" s="183" customFormat="1" ht="16.5" customHeight="1">
      <c r="A124" s="209" t="s">
        <v>257</v>
      </c>
      <c r="B124" s="210" t="s">
        <v>671</v>
      </c>
      <c r="C124" s="406">
        <v>126</v>
      </c>
      <c r="D124" s="211"/>
      <c r="E124" s="338">
        <f t="shared" si="84"/>
        <v>162</v>
      </c>
      <c r="F124" s="212">
        <f t="shared" si="34"/>
        <v>36</v>
      </c>
      <c r="G124" s="213">
        <f t="shared" si="85"/>
        <v>162</v>
      </c>
      <c r="H124" s="213">
        <f t="shared" si="86"/>
        <v>162</v>
      </c>
      <c r="I124" s="213"/>
      <c r="J124" s="213">
        <f t="shared" ref="J124:J162" si="88">K124+L124</f>
        <v>0</v>
      </c>
      <c r="K124" s="213"/>
      <c r="L124" s="213"/>
      <c r="M124" s="213">
        <f t="shared" si="87"/>
        <v>162</v>
      </c>
      <c r="N124" s="213">
        <f>9*18</f>
        <v>162</v>
      </c>
      <c r="O124" s="213">
        <v>0</v>
      </c>
      <c r="P124" s="213">
        <v>0</v>
      </c>
      <c r="Q124" s="213"/>
      <c r="R124" s="213">
        <v>0</v>
      </c>
      <c r="S124" s="589"/>
    </row>
    <row r="125" spans="1:19" s="183" customFormat="1" ht="18" customHeight="1">
      <c r="A125" s="209" t="s">
        <v>257</v>
      </c>
      <c r="B125" s="210" t="s">
        <v>318</v>
      </c>
      <c r="C125" s="406">
        <v>5.37</v>
      </c>
      <c r="D125" s="211"/>
      <c r="E125" s="338">
        <f t="shared" si="84"/>
        <v>5.37</v>
      </c>
      <c r="F125" s="212">
        <f t="shared" si="34"/>
        <v>0</v>
      </c>
      <c r="G125" s="213">
        <f t="shared" si="85"/>
        <v>5.37</v>
      </c>
      <c r="H125" s="213">
        <f t="shared" si="86"/>
        <v>5.37</v>
      </c>
      <c r="I125" s="213"/>
      <c r="J125" s="213">
        <v>5.37</v>
      </c>
      <c r="K125" s="213"/>
      <c r="L125" s="213"/>
      <c r="M125" s="213">
        <f t="shared" si="87"/>
        <v>0</v>
      </c>
      <c r="N125" s="213"/>
      <c r="O125" s="213">
        <v>0</v>
      </c>
      <c r="P125" s="213"/>
      <c r="Q125" s="213"/>
      <c r="R125" s="213"/>
      <c r="S125" s="589"/>
    </row>
    <row r="126" spans="1:19" s="183" customFormat="1" ht="26.25" customHeight="1">
      <c r="A126" s="209" t="s">
        <v>257</v>
      </c>
      <c r="B126" s="215" t="s">
        <v>345</v>
      </c>
      <c r="C126" s="406"/>
      <c r="D126" s="211"/>
      <c r="E126" s="338">
        <f t="shared" si="84"/>
        <v>9.5</v>
      </c>
      <c r="F126" s="212">
        <f t="shared" si="34"/>
        <v>9.5</v>
      </c>
      <c r="G126" s="213">
        <f t="shared" si="85"/>
        <v>9.5</v>
      </c>
      <c r="H126" s="213">
        <f t="shared" si="86"/>
        <v>9.5</v>
      </c>
      <c r="I126" s="213"/>
      <c r="J126" s="213">
        <f t="shared" si="88"/>
        <v>0</v>
      </c>
      <c r="K126" s="213"/>
      <c r="L126" s="213"/>
      <c r="M126" s="213">
        <f t="shared" si="87"/>
        <v>9.5</v>
      </c>
      <c r="N126" s="213">
        <v>9.5</v>
      </c>
      <c r="O126" s="213">
        <v>0</v>
      </c>
      <c r="P126" s="213"/>
      <c r="Q126" s="213"/>
      <c r="R126" s="213"/>
      <c r="S126" s="589"/>
    </row>
    <row r="127" spans="1:19" s="183" customFormat="1" ht="18" customHeight="1">
      <c r="A127" s="209" t="s">
        <v>257</v>
      </c>
      <c r="B127" s="210" t="s">
        <v>346</v>
      </c>
      <c r="C127" s="406">
        <v>500</v>
      </c>
      <c r="D127" s="211"/>
      <c r="E127" s="338">
        <f t="shared" si="84"/>
        <v>372.41</v>
      </c>
      <c r="F127" s="212">
        <f t="shared" si="34"/>
        <v>-127.58999999999997</v>
      </c>
      <c r="G127" s="213">
        <f t="shared" si="85"/>
        <v>372.41</v>
      </c>
      <c r="H127" s="213">
        <f t="shared" si="86"/>
        <v>0</v>
      </c>
      <c r="I127" s="213">
        <v>0</v>
      </c>
      <c r="J127" s="213">
        <f t="shared" si="88"/>
        <v>0</v>
      </c>
      <c r="K127" s="213"/>
      <c r="L127" s="213"/>
      <c r="M127" s="213">
        <f t="shared" si="87"/>
        <v>0</v>
      </c>
      <c r="N127" s="213"/>
      <c r="O127" s="213">
        <v>0</v>
      </c>
      <c r="P127" s="213">
        <v>372.41</v>
      </c>
      <c r="Q127" s="213"/>
      <c r="R127" s="213"/>
      <c r="S127" s="611"/>
    </row>
    <row r="128" spans="1:19" s="183" customFormat="1" ht="18" customHeight="1">
      <c r="A128" s="209" t="s">
        <v>257</v>
      </c>
      <c r="B128" s="210" t="s">
        <v>347</v>
      </c>
      <c r="C128" s="406">
        <v>200</v>
      </c>
      <c r="D128" s="211"/>
      <c r="E128" s="338">
        <f t="shared" si="84"/>
        <v>150</v>
      </c>
      <c r="F128" s="212">
        <f t="shared" si="34"/>
        <v>-50</v>
      </c>
      <c r="G128" s="213">
        <f t="shared" si="85"/>
        <v>150</v>
      </c>
      <c r="H128" s="213">
        <f t="shared" si="86"/>
        <v>0</v>
      </c>
      <c r="I128" s="213"/>
      <c r="J128" s="213">
        <f t="shared" si="88"/>
        <v>0</v>
      </c>
      <c r="K128" s="213"/>
      <c r="L128" s="213"/>
      <c r="M128" s="213">
        <f t="shared" si="87"/>
        <v>0</v>
      </c>
      <c r="N128" s="213"/>
      <c r="O128" s="213">
        <v>0</v>
      </c>
      <c r="P128" s="213">
        <v>150</v>
      </c>
      <c r="Q128" s="213"/>
      <c r="R128" s="213"/>
      <c r="S128" s="612" t="s">
        <v>349</v>
      </c>
    </row>
    <row r="129" spans="1:19" s="183" customFormat="1" ht="18" customHeight="1">
      <c r="A129" s="209" t="s">
        <v>257</v>
      </c>
      <c r="B129" s="210" t="s">
        <v>348</v>
      </c>
      <c r="C129" s="406">
        <v>40</v>
      </c>
      <c r="D129" s="211"/>
      <c r="E129" s="338">
        <f t="shared" si="84"/>
        <v>40</v>
      </c>
      <c r="F129" s="212">
        <f t="shared" si="34"/>
        <v>0</v>
      </c>
      <c r="G129" s="213">
        <f t="shared" si="85"/>
        <v>40</v>
      </c>
      <c r="H129" s="213">
        <f t="shared" si="86"/>
        <v>0</v>
      </c>
      <c r="I129" s="213"/>
      <c r="J129" s="213">
        <f t="shared" si="88"/>
        <v>0</v>
      </c>
      <c r="K129" s="213"/>
      <c r="L129" s="213"/>
      <c r="M129" s="213">
        <f t="shared" si="87"/>
        <v>0</v>
      </c>
      <c r="N129" s="213"/>
      <c r="O129" s="213">
        <v>0</v>
      </c>
      <c r="P129" s="213">
        <v>40</v>
      </c>
      <c r="Q129" s="213"/>
      <c r="R129" s="213"/>
      <c r="S129" s="613"/>
    </row>
    <row r="130" spans="1:19" s="183" customFormat="1" ht="12.75">
      <c r="A130" s="209" t="s">
        <v>257</v>
      </c>
      <c r="B130" s="215" t="s">
        <v>769</v>
      </c>
      <c r="C130" s="406">
        <v>30</v>
      </c>
      <c r="D130" s="211"/>
      <c r="E130" s="338"/>
      <c r="F130" s="212">
        <f t="shared" si="34"/>
        <v>-30</v>
      </c>
      <c r="G130" s="213"/>
      <c r="H130" s="213"/>
      <c r="I130" s="213"/>
      <c r="J130" s="213"/>
      <c r="K130" s="213"/>
      <c r="L130" s="213"/>
      <c r="M130" s="213"/>
      <c r="N130" s="213"/>
      <c r="O130" s="213"/>
      <c r="P130" s="213"/>
      <c r="Q130" s="213"/>
      <c r="R130" s="213"/>
      <c r="S130" s="406"/>
    </row>
    <row r="131" spans="1:19" s="183" customFormat="1" ht="18" customHeight="1">
      <c r="A131" s="209" t="s">
        <v>206</v>
      </c>
      <c r="B131" s="210" t="s">
        <v>351</v>
      </c>
      <c r="C131" s="406">
        <v>400</v>
      </c>
      <c r="D131" s="211">
        <v>220</v>
      </c>
      <c r="E131" s="338">
        <f>G131+R131</f>
        <v>303</v>
      </c>
      <c r="F131" s="212">
        <f t="shared" si="34"/>
        <v>-97</v>
      </c>
      <c r="G131" s="213">
        <f t="shared" si="85"/>
        <v>303</v>
      </c>
      <c r="H131" s="213">
        <f t="shared" si="86"/>
        <v>0</v>
      </c>
      <c r="I131" s="213"/>
      <c r="J131" s="213">
        <f t="shared" si="88"/>
        <v>0</v>
      </c>
      <c r="K131" s="213"/>
      <c r="L131" s="213"/>
      <c r="M131" s="213">
        <f>N131+O131</f>
        <v>0</v>
      </c>
      <c r="N131" s="213"/>
      <c r="O131" s="213">
        <v>0</v>
      </c>
      <c r="P131" s="213">
        <f>253+50</f>
        <v>303</v>
      </c>
      <c r="Q131" s="213"/>
      <c r="R131" s="213"/>
      <c r="S131" s="406" t="s">
        <v>350</v>
      </c>
    </row>
    <row r="132" spans="1:19" s="183" customFormat="1" ht="18" customHeight="1">
      <c r="A132" s="209" t="s">
        <v>208</v>
      </c>
      <c r="B132" s="210" t="s">
        <v>352</v>
      </c>
      <c r="C132" s="406">
        <f>SUM(C133:C139)</f>
        <v>1173.77</v>
      </c>
      <c r="D132" s="211">
        <v>190</v>
      </c>
      <c r="E132" s="338">
        <f>SUM(E133:E139)</f>
        <v>1068</v>
      </c>
      <c r="F132" s="212">
        <f t="shared" si="34"/>
        <v>-105.76999999999998</v>
      </c>
      <c r="G132" s="213">
        <f t="shared" ref="G132:R132" si="89">SUM(G133:G139)</f>
        <v>1068</v>
      </c>
      <c r="H132" s="213">
        <f t="shared" si="89"/>
        <v>839.81</v>
      </c>
      <c r="I132" s="213">
        <f t="shared" si="89"/>
        <v>8</v>
      </c>
      <c r="J132" s="213">
        <f t="shared" si="89"/>
        <v>695.81</v>
      </c>
      <c r="K132" s="213">
        <f t="shared" si="89"/>
        <v>0</v>
      </c>
      <c r="L132" s="213">
        <f t="shared" si="89"/>
        <v>0</v>
      </c>
      <c r="M132" s="213">
        <f t="shared" si="89"/>
        <v>144</v>
      </c>
      <c r="N132" s="213">
        <f t="shared" si="89"/>
        <v>144</v>
      </c>
      <c r="O132" s="213">
        <f t="shared" si="89"/>
        <v>0</v>
      </c>
      <c r="P132" s="213">
        <f t="shared" si="89"/>
        <v>228.19</v>
      </c>
      <c r="Q132" s="213">
        <f t="shared" si="89"/>
        <v>0</v>
      </c>
      <c r="R132" s="213">
        <f t="shared" si="89"/>
        <v>0</v>
      </c>
      <c r="S132" s="406" t="s">
        <v>350</v>
      </c>
    </row>
    <row r="133" spans="1:19" s="183" customFormat="1" ht="18" customHeight="1">
      <c r="A133" s="209" t="s">
        <v>257</v>
      </c>
      <c r="B133" s="210" t="s">
        <v>353</v>
      </c>
      <c r="C133" s="406">
        <v>546.77</v>
      </c>
      <c r="D133" s="211"/>
      <c r="E133" s="338">
        <f t="shared" ref="E133:E139" si="90">G133+R133</f>
        <v>695.81</v>
      </c>
      <c r="F133" s="212">
        <f t="shared" si="34"/>
        <v>149.03999999999996</v>
      </c>
      <c r="G133" s="213">
        <f t="shared" ref="G133:G139" si="91">H133+P133+Q133</f>
        <v>695.81</v>
      </c>
      <c r="H133" s="213">
        <f t="shared" ref="H133:H139" si="92">J133+M133</f>
        <v>695.81</v>
      </c>
      <c r="I133" s="213">
        <v>8</v>
      </c>
      <c r="J133" s="398">
        <v>695.81</v>
      </c>
      <c r="K133" s="213"/>
      <c r="L133" s="213"/>
      <c r="M133" s="213">
        <f t="shared" ref="M133:M139" si="93">N133+O133</f>
        <v>0</v>
      </c>
      <c r="N133" s="213"/>
      <c r="O133" s="213"/>
      <c r="P133" s="213"/>
      <c r="Q133" s="213"/>
      <c r="R133" s="213"/>
      <c r="S133" s="406"/>
    </row>
    <row r="134" spans="1:19" s="183" customFormat="1" ht="18" customHeight="1">
      <c r="A134" s="209" t="s">
        <v>257</v>
      </c>
      <c r="B134" s="210" t="s">
        <v>672</v>
      </c>
      <c r="C134" s="406">
        <v>112</v>
      </c>
      <c r="D134" s="211"/>
      <c r="E134" s="338">
        <f t="shared" si="90"/>
        <v>144</v>
      </c>
      <c r="F134" s="212">
        <f t="shared" ref="F134:F196" si="94">E134-C134</f>
        <v>32</v>
      </c>
      <c r="G134" s="213">
        <f t="shared" si="91"/>
        <v>144</v>
      </c>
      <c r="H134" s="213">
        <f t="shared" si="92"/>
        <v>144</v>
      </c>
      <c r="I134" s="213"/>
      <c r="J134" s="213">
        <f t="shared" si="88"/>
        <v>0</v>
      </c>
      <c r="K134" s="213"/>
      <c r="L134" s="213"/>
      <c r="M134" s="213">
        <f t="shared" si="93"/>
        <v>144</v>
      </c>
      <c r="N134" s="213">
        <f>8*18</f>
        <v>144</v>
      </c>
      <c r="O134" s="213">
        <v>0</v>
      </c>
      <c r="P134" s="213"/>
      <c r="Q134" s="213"/>
      <c r="R134" s="213">
        <v>0</v>
      </c>
      <c r="S134" s="406"/>
    </row>
    <row r="135" spans="1:19" s="183" customFormat="1" ht="18" customHeight="1">
      <c r="A135" s="209" t="s">
        <v>257</v>
      </c>
      <c r="B135" s="210" t="s">
        <v>354</v>
      </c>
      <c r="C135" s="406">
        <v>150</v>
      </c>
      <c r="D135" s="211"/>
      <c r="E135" s="338">
        <f t="shared" si="90"/>
        <v>0</v>
      </c>
      <c r="F135" s="212">
        <f t="shared" si="94"/>
        <v>-150</v>
      </c>
      <c r="G135" s="213">
        <f t="shared" si="91"/>
        <v>0</v>
      </c>
      <c r="H135" s="213">
        <f t="shared" si="92"/>
        <v>0</v>
      </c>
      <c r="I135" s="213"/>
      <c r="J135" s="213">
        <f t="shared" si="88"/>
        <v>0</v>
      </c>
      <c r="K135" s="213"/>
      <c r="L135" s="213"/>
      <c r="M135" s="213">
        <f t="shared" si="93"/>
        <v>0</v>
      </c>
      <c r="N135" s="213"/>
      <c r="O135" s="213">
        <v>0</v>
      </c>
      <c r="P135" s="213"/>
      <c r="Q135" s="213"/>
      <c r="R135" s="213"/>
      <c r="S135" s="406"/>
    </row>
    <row r="136" spans="1:19" s="183" customFormat="1" ht="18" customHeight="1">
      <c r="A136" s="209" t="s">
        <v>257</v>
      </c>
      <c r="B136" s="210" t="s">
        <v>355</v>
      </c>
      <c r="C136" s="406">
        <v>165</v>
      </c>
      <c r="D136" s="211"/>
      <c r="E136" s="338">
        <f t="shared" si="90"/>
        <v>0</v>
      </c>
      <c r="F136" s="212">
        <f t="shared" si="94"/>
        <v>-165</v>
      </c>
      <c r="G136" s="213">
        <f t="shared" si="91"/>
        <v>0</v>
      </c>
      <c r="H136" s="213">
        <f t="shared" si="92"/>
        <v>0</v>
      </c>
      <c r="I136" s="213"/>
      <c r="J136" s="213">
        <f t="shared" si="88"/>
        <v>0</v>
      </c>
      <c r="K136" s="213"/>
      <c r="L136" s="213"/>
      <c r="M136" s="213">
        <f t="shared" si="93"/>
        <v>0</v>
      </c>
      <c r="N136" s="213"/>
      <c r="O136" s="213">
        <v>0</v>
      </c>
      <c r="P136" s="213"/>
      <c r="Q136" s="213"/>
      <c r="R136" s="213"/>
      <c r="S136" s="406"/>
    </row>
    <row r="137" spans="1:19" s="183" customFormat="1" ht="27.75" customHeight="1">
      <c r="A137" s="209" t="s">
        <v>257</v>
      </c>
      <c r="B137" s="215" t="s">
        <v>356</v>
      </c>
      <c r="C137" s="406"/>
      <c r="D137" s="211"/>
      <c r="E137" s="338">
        <f t="shared" si="90"/>
        <v>0</v>
      </c>
      <c r="F137" s="212">
        <f t="shared" si="94"/>
        <v>0</v>
      </c>
      <c r="G137" s="213">
        <f t="shared" si="91"/>
        <v>0</v>
      </c>
      <c r="H137" s="213">
        <f t="shared" si="92"/>
        <v>0</v>
      </c>
      <c r="I137" s="213"/>
      <c r="J137" s="213">
        <f t="shared" si="88"/>
        <v>0</v>
      </c>
      <c r="K137" s="213"/>
      <c r="L137" s="213"/>
      <c r="M137" s="213">
        <f t="shared" si="93"/>
        <v>0</v>
      </c>
      <c r="N137" s="213"/>
      <c r="O137" s="213">
        <v>0</v>
      </c>
      <c r="P137" s="213"/>
      <c r="Q137" s="213"/>
      <c r="R137" s="213"/>
      <c r="S137" s="406"/>
    </row>
    <row r="138" spans="1:19" s="183" customFormat="1" ht="18" customHeight="1">
      <c r="A138" s="209" t="s">
        <v>257</v>
      </c>
      <c r="B138" s="210" t="s">
        <v>357</v>
      </c>
      <c r="C138" s="406"/>
      <c r="D138" s="211"/>
      <c r="E138" s="338">
        <f t="shared" si="90"/>
        <v>0</v>
      </c>
      <c r="F138" s="212">
        <f t="shared" si="94"/>
        <v>0</v>
      </c>
      <c r="G138" s="213">
        <f t="shared" si="91"/>
        <v>0</v>
      </c>
      <c r="H138" s="213">
        <f t="shared" si="92"/>
        <v>0</v>
      </c>
      <c r="I138" s="213"/>
      <c r="J138" s="213">
        <f>K138+L138</f>
        <v>0</v>
      </c>
      <c r="K138" s="213"/>
      <c r="L138" s="213"/>
      <c r="M138" s="213">
        <f t="shared" si="93"/>
        <v>0</v>
      </c>
      <c r="N138" s="213"/>
      <c r="O138" s="213">
        <v>0</v>
      </c>
      <c r="P138" s="213"/>
      <c r="Q138" s="213"/>
      <c r="R138" s="213"/>
      <c r="S138" s="406"/>
    </row>
    <row r="139" spans="1:19" s="183" customFormat="1" ht="47.25" customHeight="1">
      <c r="A139" s="209" t="s">
        <v>257</v>
      </c>
      <c r="B139" s="215" t="s">
        <v>583</v>
      </c>
      <c r="C139" s="406">
        <v>200</v>
      </c>
      <c r="D139" s="211"/>
      <c r="E139" s="338">
        <f t="shared" si="90"/>
        <v>228.19</v>
      </c>
      <c r="F139" s="212">
        <f t="shared" si="94"/>
        <v>28.189999999999998</v>
      </c>
      <c r="G139" s="213">
        <f t="shared" si="91"/>
        <v>228.19</v>
      </c>
      <c r="H139" s="213">
        <f t="shared" si="92"/>
        <v>0</v>
      </c>
      <c r="I139" s="213"/>
      <c r="J139" s="213">
        <f t="shared" si="88"/>
        <v>0</v>
      </c>
      <c r="K139" s="213"/>
      <c r="L139" s="213"/>
      <c r="M139" s="213">
        <f t="shared" si="93"/>
        <v>0</v>
      </c>
      <c r="N139" s="213"/>
      <c r="O139" s="213">
        <v>0</v>
      </c>
      <c r="P139" s="213">
        <v>228.19</v>
      </c>
      <c r="Q139" s="213"/>
      <c r="R139" s="213"/>
      <c r="S139" s="406"/>
    </row>
    <row r="140" spans="1:19" s="183" customFormat="1" ht="19.5" customHeight="1">
      <c r="A140" s="209" t="s">
        <v>358</v>
      </c>
      <c r="B140" s="210" t="s">
        <v>359</v>
      </c>
      <c r="C140" s="406">
        <f>C141+C144+C158+C159+C162</f>
        <v>7854.34</v>
      </c>
      <c r="D140" s="211">
        <v>370</v>
      </c>
      <c r="E140" s="338">
        <f>E141+E144+E158+E159+E162</f>
        <v>16244.78</v>
      </c>
      <c r="F140" s="212">
        <f t="shared" si="94"/>
        <v>8390.44</v>
      </c>
      <c r="G140" s="213">
        <f>G141+G144+G158+G159+G162</f>
        <v>16244.78</v>
      </c>
      <c r="H140" s="213">
        <f>H141+H144+H158+H159+H162</f>
        <v>99</v>
      </c>
      <c r="I140" s="213">
        <f>I141+I144+I158+I159+I162</f>
        <v>0</v>
      </c>
      <c r="J140" s="213">
        <f>J141+J144+J158+J159+J162</f>
        <v>0</v>
      </c>
      <c r="K140" s="213">
        <f>K141+K144+K158+K159+K162</f>
        <v>0</v>
      </c>
      <c r="L140" s="213"/>
      <c r="M140" s="213">
        <f t="shared" ref="M140:R140" si="95">M141+M144+M158+M159+M162</f>
        <v>99</v>
      </c>
      <c r="N140" s="213">
        <f t="shared" si="95"/>
        <v>99</v>
      </c>
      <c r="O140" s="213">
        <f t="shared" si="95"/>
        <v>0</v>
      </c>
      <c r="P140" s="213">
        <f t="shared" si="95"/>
        <v>16145.78</v>
      </c>
      <c r="Q140" s="213">
        <f t="shared" si="95"/>
        <v>0</v>
      </c>
      <c r="R140" s="213">
        <f t="shared" si="95"/>
        <v>0</v>
      </c>
      <c r="S140" s="406"/>
    </row>
    <row r="141" spans="1:19" s="183" customFormat="1" ht="19.5" customHeight="1">
      <c r="A141" s="209" t="s">
        <v>360</v>
      </c>
      <c r="B141" s="210" t="s">
        <v>361</v>
      </c>
      <c r="C141" s="406">
        <f t="shared" ref="C141:R141" si="96">C143+C142</f>
        <v>65</v>
      </c>
      <c r="D141" s="211"/>
      <c r="E141" s="338">
        <f t="shared" si="96"/>
        <v>65</v>
      </c>
      <c r="F141" s="212">
        <f t="shared" si="94"/>
        <v>0</v>
      </c>
      <c r="G141" s="213">
        <f t="shared" si="96"/>
        <v>65</v>
      </c>
      <c r="H141" s="213">
        <f t="shared" si="96"/>
        <v>0</v>
      </c>
      <c r="I141" s="213">
        <f t="shared" si="96"/>
        <v>0</v>
      </c>
      <c r="J141" s="213">
        <f t="shared" si="96"/>
        <v>0</v>
      </c>
      <c r="K141" s="213">
        <f t="shared" si="96"/>
        <v>0</v>
      </c>
      <c r="L141" s="213"/>
      <c r="M141" s="213">
        <f t="shared" si="96"/>
        <v>0</v>
      </c>
      <c r="N141" s="213">
        <f t="shared" si="96"/>
        <v>0</v>
      </c>
      <c r="O141" s="213">
        <f t="shared" si="96"/>
        <v>0</v>
      </c>
      <c r="P141" s="213">
        <f>P143+P142</f>
        <v>65</v>
      </c>
      <c r="Q141" s="213">
        <f t="shared" si="96"/>
        <v>0</v>
      </c>
      <c r="R141" s="213">
        <f t="shared" si="96"/>
        <v>0</v>
      </c>
      <c r="S141" s="406" t="s">
        <v>281</v>
      </c>
    </row>
    <row r="142" spans="1:19" s="183" customFormat="1" ht="19.5" customHeight="1">
      <c r="A142" s="209" t="s">
        <v>204</v>
      </c>
      <c r="B142" s="210" t="s">
        <v>704</v>
      </c>
      <c r="C142" s="406">
        <v>25</v>
      </c>
      <c r="D142" s="211"/>
      <c r="E142" s="338">
        <f>G142+R142</f>
        <v>25</v>
      </c>
      <c r="F142" s="212">
        <f t="shared" si="94"/>
        <v>0</v>
      </c>
      <c r="G142" s="213">
        <f>H142+P142+Q142</f>
        <v>25</v>
      </c>
      <c r="H142" s="213">
        <f>J142+M142</f>
        <v>0</v>
      </c>
      <c r="I142" s="213"/>
      <c r="J142" s="213">
        <f t="shared" si="88"/>
        <v>0</v>
      </c>
      <c r="K142" s="213"/>
      <c r="L142" s="213"/>
      <c r="M142" s="213">
        <f>N142+O142</f>
        <v>0</v>
      </c>
      <c r="N142" s="213"/>
      <c r="O142" s="213">
        <v>0</v>
      </c>
      <c r="P142" s="213">
        <v>25</v>
      </c>
      <c r="Q142" s="213"/>
      <c r="R142" s="213"/>
      <c r="S142" s="406"/>
    </row>
    <row r="143" spans="1:19" s="183" customFormat="1" ht="19.5" customHeight="1">
      <c r="A143" s="209" t="s">
        <v>206</v>
      </c>
      <c r="B143" s="210" t="s">
        <v>362</v>
      </c>
      <c r="C143" s="406">
        <v>40</v>
      </c>
      <c r="D143" s="211"/>
      <c r="E143" s="338">
        <f>G143+R143</f>
        <v>40</v>
      </c>
      <c r="F143" s="212">
        <f t="shared" si="94"/>
        <v>0</v>
      </c>
      <c r="G143" s="213">
        <f>H143+P143+Q143</f>
        <v>40</v>
      </c>
      <c r="H143" s="213">
        <f>J143+M143</f>
        <v>0</v>
      </c>
      <c r="I143" s="213"/>
      <c r="J143" s="213">
        <f t="shared" si="88"/>
        <v>0</v>
      </c>
      <c r="K143" s="213"/>
      <c r="L143" s="213"/>
      <c r="M143" s="213">
        <f>N143+O143</f>
        <v>0</v>
      </c>
      <c r="N143" s="213"/>
      <c r="O143" s="213">
        <v>0</v>
      </c>
      <c r="P143" s="213">
        <v>40</v>
      </c>
      <c r="Q143" s="213"/>
      <c r="R143" s="213"/>
      <c r="S143" s="406"/>
    </row>
    <row r="144" spans="1:19" s="183" customFormat="1" ht="21" customHeight="1">
      <c r="A144" s="209" t="s">
        <v>363</v>
      </c>
      <c r="B144" s="210" t="s">
        <v>364</v>
      </c>
      <c r="C144" s="406">
        <f>SUM(C145:C157)</f>
        <v>7094.34</v>
      </c>
      <c r="D144" s="211"/>
      <c r="E144" s="338">
        <f>SUM(E145:E157)</f>
        <v>14626.78</v>
      </c>
      <c r="F144" s="212">
        <f t="shared" si="94"/>
        <v>7532.4400000000005</v>
      </c>
      <c r="G144" s="406">
        <f t="shared" ref="G144:R144" si="97">SUM(G145:G157)</f>
        <v>14626.78</v>
      </c>
      <c r="H144" s="406">
        <f t="shared" si="97"/>
        <v>99</v>
      </c>
      <c r="I144" s="406">
        <f t="shared" si="97"/>
        <v>0</v>
      </c>
      <c r="J144" s="406">
        <f t="shared" si="97"/>
        <v>0</v>
      </c>
      <c r="K144" s="406">
        <f t="shared" si="97"/>
        <v>0</v>
      </c>
      <c r="L144" s="406">
        <f t="shared" si="97"/>
        <v>0</v>
      </c>
      <c r="M144" s="406">
        <f t="shared" si="97"/>
        <v>99</v>
      </c>
      <c r="N144" s="406">
        <f t="shared" si="97"/>
        <v>99</v>
      </c>
      <c r="O144" s="406">
        <f t="shared" si="97"/>
        <v>0</v>
      </c>
      <c r="P144" s="406">
        <f t="shared" si="97"/>
        <v>14527.78</v>
      </c>
      <c r="Q144" s="406">
        <f t="shared" si="97"/>
        <v>0</v>
      </c>
      <c r="R144" s="406">
        <f t="shared" si="97"/>
        <v>0</v>
      </c>
      <c r="S144" s="406" t="s">
        <v>281</v>
      </c>
    </row>
    <row r="145" spans="1:19" s="183" customFormat="1" ht="27.75" customHeight="1">
      <c r="A145" s="209" t="s">
        <v>257</v>
      </c>
      <c r="B145" s="215" t="s">
        <v>743</v>
      </c>
      <c r="C145" s="406">
        <v>5731</v>
      </c>
      <c r="D145" s="211"/>
      <c r="E145" s="338">
        <f>G145+R145</f>
        <v>12847.78</v>
      </c>
      <c r="F145" s="212">
        <f t="shared" si="94"/>
        <v>7116.7800000000007</v>
      </c>
      <c r="G145" s="213">
        <f t="shared" ref="G145:G158" si="98">H145+P145+Q145</f>
        <v>12847.78</v>
      </c>
      <c r="H145" s="213">
        <f t="shared" ref="H145:H158" si="99">J145+M145</f>
        <v>0</v>
      </c>
      <c r="I145" s="213"/>
      <c r="J145" s="213">
        <f t="shared" si="88"/>
        <v>0</v>
      </c>
      <c r="K145" s="213"/>
      <c r="L145" s="213"/>
      <c r="M145" s="213">
        <f t="shared" ref="M145:M158" si="100">N145+O145</f>
        <v>0</v>
      </c>
      <c r="N145" s="213"/>
      <c r="O145" s="213">
        <v>0</v>
      </c>
      <c r="P145" s="213">
        <v>12847.78</v>
      </c>
      <c r="Q145" s="213"/>
      <c r="R145" s="213"/>
      <c r="S145" s="406"/>
    </row>
    <row r="146" spans="1:19" s="183" customFormat="1" ht="35.25" hidden="1" customHeight="1">
      <c r="A146" s="209"/>
      <c r="B146" s="215"/>
      <c r="C146" s="406"/>
      <c r="D146" s="211"/>
      <c r="E146" s="338"/>
      <c r="F146" s="212">
        <f t="shared" si="94"/>
        <v>0</v>
      </c>
      <c r="G146" s="213">
        <f t="shared" si="98"/>
        <v>0</v>
      </c>
      <c r="H146" s="213">
        <f t="shared" si="99"/>
        <v>0</v>
      </c>
      <c r="I146" s="213"/>
      <c r="J146" s="213"/>
      <c r="K146" s="213"/>
      <c r="L146" s="213"/>
      <c r="M146" s="213">
        <f t="shared" si="100"/>
        <v>0</v>
      </c>
      <c r="N146" s="213"/>
      <c r="O146" s="213"/>
      <c r="P146" s="213"/>
      <c r="Q146" s="213"/>
      <c r="R146" s="213"/>
      <c r="S146" s="406"/>
    </row>
    <row r="147" spans="1:19" s="183" customFormat="1" ht="21.75" hidden="1" customHeight="1">
      <c r="A147" s="209"/>
      <c r="B147" s="215"/>
      <c r="C147" s="406"/>
      <c r="D147" s="211"/>
      <c r="E147" s="338"/>
      <c r="F147" s="212">
        <f t="shared" si="94"/>
        <v>0</v>
      </c>
      <c r="G147" s="213">
        <f t="shared" si="98"/>
        <v>0</v>
      </c>
      <c r="H147" s="213">
        <f t="shared" si="99"/>
        <v>0</v>
      </c>
      <c r="I147" s="213"/>
      <c r="J147" s="213"/>
      <c r="K147" s="213"/>
      <c r="L147" s="213"/>
      <c r="M147" s="213">
        <f t="shared" si="100"/>
        <v>0</v>
      </c>
      <c r="N147" s="213"/>
      <c r="O147" s="213"/>
      <c r="P147" s="213"/>
      <c r="Q147" s="213"/>
      <c r="R147" s="213"/>
      <c r="S147" s="406"/>
    </row>
    <row r="148" spans="1:19" s="183" customFormat="1" ht="28.5" customHeight="1">
      <c r="A148" s="214"/>
      <c r="B148" s="215" t="s">
        <v>564</v>
      </c>
      <c r="C148" s="406">
        <v>358</v>
      </c>
      <c r="D148" s="211"/>
      <c r="E148" s="338">
        <f>G148+R148</f>
        <v>363</v>
      </c>
      <c r="F148" s="212">
        <f t="shared" si="94"/>
        <v>5</v>
      </c>
      <c r="G148" s="213">
        <f t="shared" si="98"/>
        <v>363</v>
      </c>
      <c r="H148" s="213">
        <f t="shared" si="99"/>
        <v>0</v>
      </c>
      <c r="I148" s="213"/>
      <c r="J148" s="213"/>
      <c r="K148" s="213"/>
      <c r="L148" s="213"/>
      <c r="M148" s="213">
        <f t="shared" si="100"/>
        <v>0</v>
      </c>
      <c r="N148" s="213"/>
      <c r="O148" s="213"/>
      <c r="P148" s="213">
        <v>363</v>
      </c>
      <c r="Q148" s="213"/>
      <c r="R148" s="213"/>
      <c r="S148" s="406"/>
    </row>
    <row r="149" spans="1:19" s="183" customFormat="1" ht="42" customHeight="1">
      <c r="A149" s="209" t="s">
        <v>257</v>
      </c>
      <c r="B149" s="215" t="s">
        <v>365</v>
      </c>
      <c r="C149" s="406">
        <v>108</v>
      </c>
      <c r="D149" s="211"/>
      <c r="E149" s="338">
        <f t="shared" ref="E149:E158" si="101">G149+R149</f>
        <v>108</v>
      </c>
      <c r="F149" s="212">
        <f t="shared" si="94"/>
        <v>0</v>
      </c>
      <c r="G149" s="213">
        <f t="shared" si="98"/>
        <v>108</v>
      </c>
      <c r="H149" s="213">
        <f t="shared" si="99"/>
        <v>0</v>
      </c>
      <c r="I149" s="213"/>
      <c r="J149" s="213">
        <f t="shared" si="88"/>
        <v>0</v>
      </c>
      <c r="K149" s="213"/>
      <c r="L149" s="213"/>
      <c r="M149" s="213">
        <f t="shared" si="100"/>
        <v>0</v>
      </c>
      <c r="N149" s="213"/>
      <c r="O149" s="213">
        <v>0</v>
      </c>
      <c r="P149" s="213">
        <v>108</v>
      </c>
      <c r="Q149" s="213"/>
      <c r="R149" s="213"/>
      <c r="S149" s="406"/>
    </row>
    <row r="150" spans="1:19" s="183" customFormat="1" ht="18.75" customHeight="1">
      <c r="A150" s="209" t="s">
        <v>257</v>
      </c>
      <c r="B150" s="210" t="s">
        <v>366</v>
      </c>
      <c r="C150" s="406">
        <v>25</v>
      </c>
      <c r="D150" s="211"/>
      <c r="E150" s="338">
        <f t="shared" si="101"/>
        <v>25</v>
      </c>
      <c r="F150" s="212">
        <f t="shared" si="94"/>
        <v>0</v>
      </c>
      <c r="G150" s="213">
        <f t="shared" si="98"/>
        <v>25</v>
      </c>
      <c r="H150" s="213">
        <f t="shared" si="99"/>
        <v>0</v>
      </c>
      <c r="I150" s="213"/>
      <c r="J150" s="213">
        <f t="shared" si="88"/>
        <v>0</v>
      </c>
      <c r="K150" s="213"/>
      <c r="L150" s="213"/>
      <c r="M150" s="213">
        <f t="shared" si="100"/>
        <v>0</v>
      </c>
      <c r="N150" s="213"/>
      <c r="O150" s="213">
        <v>0</v>
      </c>
      <c r="P150" s="213">
        <v>25</v>
      </c>
      <c r="Q150" s="213"/>
      <c r="R150" s="213"/>
      <c r="S150" s="406"/>
    </row>
    <row r="151" spans="1:19" s="183" customFormat="1" ht="18.75" customHeight="1">
      <c r="A151" s="209" t="s">
        <v>257</v>
      </c>
      <c r="B151" s="210" t="s">
        <v>367</v>
      </c>
      <c r="C151" s="406">
        <v>800</v>
      </c>
      <c r="D151" s="211"/>
      <c r="E151" s="338">
        <f t="shared" si="101"/>
        <v>1000</v>
      </c>
      <c r="F151" s="212">
        <f t="shared" si="94"/>
        <v>200</v>
      </c>
      <c r="G151" s="213">
        <f t="shared" si="98"/>
        <v>1000</v>
      </c>
      <c r="H151" s="213">
        <f t="shared" si="99"/>
        <v>0</v>
      </c>
      <c r="I151" s="213"/>
      <c r="J151" s="213">
        <f t="shared" si="88"/>
        <v>0</v>
      </c>
      <c r="K151" s="213"/>
      <c r="L151" s="213"/>
      <c r="M151" s="213">
        <f t="shared" si="100"/>
        <v>0</v>
      </c>
      <c r="N151" s="213"/>
      <c r="O151" s="213">
        <v>0</v>
      </c>
      <c r="P151" s="213">
        <v>1000</v>
      </c>
      <c r="Q151" s="213"/>
      <c r="R151" s="213"/>
      <c r="S151" s="406"/>
    </row>
    <row r="152" spans="1:19" s="183" customFormat="1" ht="18.75" customHeight="1">
      <c r="A152" s="209" t="s">
        <v>257</v>
      </c>
      <c r="B152" s="210" t="s">
        <v>368</v>
      </c>
      <c r="C152" s="406">
        <v>45</v>
      </c>
      <c r="D152" s="211"/>
      <c r="E152" s="338">
        <f t="shared" si="101"/>
        <v>50</v>
      </c>
      <c r="F152" s="212">
        <f t="shared" si="94"/>
        <v>5</v>
      </c>
      <c r="G152" s="213">
        <f t="shared" si="98"/>
        <v>50</v>
      </c>
      <c r="H152" s="213">
        <f t="shared" si="99"/>
        <v>0</v>
      </c>
      <c r="I152" s="213"/>
      <c r="J152" s="213">
        <f t="shared" si="88"/>
        <v>0</v>
      </c>
      <c r="K152" s="213"/>
      <c r="L152" s="213"/>
      <c r="M152" s="213">
        <f t="shared" si="100"/>
        <v>0</v>
      </c>
      <c r="N152" s="213"/>
      <c r="O152" s="213">
        <v>0</v>
      </c>
      <c r="P152" s="213">
        <v>50</v>
      </c>
      <c r="Q152" s="213"/>
      <c r="R152" s="213"/>
      <c r="S152" s="406"/>
    </row>
    <row r="153" spans="1:19" s="183" customFormat="1" ht="36.75" customHeight="1">
      <c r="A153" s="209" t="s">
        <v>257</v>
      </c>
      <c r="B153" s="215" t="s">
        <v>371</v>
      </c>
      <c r="C153" s="406">
        <v>21</v>
      </c>
      <c r="D153" s="211"/>
      <c r="E153" s="338">
        <f t="shared" si="101"/>
        <v>20</v>
      </c>
      <c r="F153" s="212">
        <f t="shared" si="94"/>
        <v>-1</v>
      </c>
      <c r="G153" s="213">
        <f t="shared" si="98"/>
        <v>20</v>
      </c>
      <c r="H153" s="213">
        <f t="shared" si="99"/>
        <v>0</v>
      </c>
      <c r="I153" s="213"/>
      <c r="J153" s="213">
        <f t="shared" si="88"/>
        <v>0</v>
      </c>
      <c r="K153" s="213"/>
      <c r="L153" s="213"/>
      <c r="M153" s="213">
        <f t="shared" si="100"/>
        <v>0</v>
      </c>
      <c r="N153" s="213"/>
      <c r="O153" s="213">
        <v>0</v>
      </c>
      <c r="P153" s="213">
        <v>20</v>
      </c>
      <c r="Q153" s="213"/>
      <c r="R153" s="213"/>
      <c r="S153" s="406"/>
    </row>
    <row r="154" spans="1:19" s="183" customFormat="1" ht="38.25" customHeight="1">
      <c r="A154" s="209" t="s">
        <v>257</v>
      </c>
      <c r="B154" s="215" t="s">
        <v>372</v>
      </c>
      <c r="C154" s="406"/>
      <c r="D154" s="211"/>
      <c r="E154" s="338">
        <f t="shared" si="101"/>
        <v>0</v>
      </c>
      <c r="F154" s="212">
        <f t="shared" si="94"/>
        <v>0</v>
      </c>
      <c r="G154" s="213">
        <f t="shared" si="98"/>
        <v>0</v>
      </c>
      <c r="H154" s="213">
        <f t="shared" si="99"/>
        <v>0</v>
      </c>
      <c r="I154" s="213"/>
      <c r="J154" s="213">
        <f>K154+L154</f>
        <v>0</v>
      </c>
      <c r="K154" s="213"/>
      <c r="L154" s="213"/>
      <c r="M154" s="213">
        <f t="shared" si="100"/>
        <v>0</v>
      </c>
      <c r="N154" s="213"/>
      <c r="O154" s="213">
        <v>0</v>
      </c>
      <c r="P154" s="213"/>
      <c r="Q154" s="213"/>
      <c r="R154" s="213"/>
      <c r="S154" s="406"/>
    </row>
    <row r="155" spans="1:19" s="183" customFormat="1" ht="38.25" customHeight="1">
      <c r="A155" s="209" t="s">
        <v>257</v>
      </c>
      <c r="B155" s="419" t="s">
        <v>821</v>
      </c>
      <c r="C155" s="406"/>
      <c r="D155" s="211"/>
      <c r="E155" s="338">
        <f t="shared" si="101"/>
        <v>84</v>
      </c>
      <c r="F155" s="212">
        <f t="shared" si="94"/>
        <v>84</v>
      </c>
      <c r="G155" s="213">
        <f t="shared" si="98"/>
        <v>84</v>
      </c>
      <c r="H155" s="213">
        <f t="shared" si="99"/>
        <v>0</v>
      </c>
      <c r="I155" s="213"/>
      <c r="J155" s="213">
        <f>K155+L155</f>
        <v>0</v>
      </c>
      <c r="K155" s="213"/>
      <c r="L155" s="213"/>
      <c r="M155" s="213">
        <f t="shared" si="100"/>
        <v>0</v>
      </c>
      <c r="N155" s="213"/>
      <c r="O155" s="213">
        <v>0</v>
      </c>
      <c r="P155" s="213">
        <v>84</v>
      </c>
      <c r="Q155" s="213"/>
      <c r="R155" s="213"/>
      <c r="S155" s="406"/>
    </row>
    <row r="156" spans="1:19" s="183" customFormat="1" ht="39" customHeight="1">
      <c r="A156" s="209" t="s">
        <v>257</v>
      </c>
      <c r="B156" s="215" t="s">
        <v>373</v>
      </c>
      <c r="C156" s="406"/>
      <c r="D156" s="211"/>
      <c r="E156" s="338">
        <f t="shared" si="101"/>
        <v>30</v>
      </c>
      <c r="F156" s="212">
        <f t="shared" si="94"/>
        <v>30</v>
      </c>
      <c r="G156" s="213">
        <f t="shared" si="98"/>
        <v>30</v>
      </c>
      <c r="H156" s="213">
        <f t="shared" si="99"/>
        <v>0</v>
      </c>
      <c r="I156" s="213"/>
      <c r="J156" s="213">
        <f t="shared" si="88"/>
        <v>0</v>
      </c>
      <c r="K156" s="213"/>
      <c r="L156" s="213"/>
      <c r="M156" s="213">
        <f t="shared" si="100"/>
        <v>0</v>
      </c>
      <c r="N156" s="213"/>
      <c r="O156" s="213">
        <v>0</v>
      </c>
      <c r="P156" s="213">
        <v>30</v>
      </c>
      <c r="Q156" s="213"/>
      <c r="R156" s="213"/>
      <c r="S156" s="406"/>
    </row>
    <row r="157" spans="1:19" s="183" customFormat="1" ht="28.5" customHeight="1">
      <c r="A157" s="214" t="s">
        <v>257</v>
      </c>
      <c r="B157" s="215" t="s">
        <v>374</v>
      </c>
      <c r="C157" s="406">
        <v>6.34</v>
      </c>
      <c r="D157" s="211"/>
      <c r="E157" s="338">
        <f t="shared" si="101"/>
        <v>99</v>
      </c>
      <c r="F157" s="212">
        <f t="shared" si="94"/>
        <v>92.66</v>
      </c>
      <c r="G157" s="213">
        <f t="shared" si="98"/>
        <v>99</v>
      </c>
      <c r="H157" s="213">
        <f t="shared" si="99"/>
        <v>99</v>
      </c>
      <c r="I157" s="213"/>
      <c r="J157" s="213">
        <f t="shared" si="88"/>
        <v>0</v>
      </c>
      <c r="K157" s="213"/>
      <c r="L157" s="213"/>
      <c r="M157" s="213">
        <f t="shared" si="100"/>
        <v>99</v>
      </c>
      <c r="N157" s="213">
        <v>99</v>
      </c>
      <c r="O157" s="213"/>
      <c r="P157" s="213"/>
      <c r="Q157" s="213"/>
      <c r="R157" s="213"/>
      <c r="S157" s="406"/>
    </row>
    <row r="158" spans="1:19" s="183" customFormat="1" ht="20.25" customHeight="1">
      <c r="A158" s="209" t="s">
        <v>375</v>
      </c>
      <c r="B158" s="210" t="s">
        <v>376</v>
      </c>
      <c r="C158" s="406">
        <v>0</v>
      </c>
      <c r="D158" s="211"/>
      <c r="E158" s="338">
        <f t="shared" si="101"/>
        <v>0</v>
      </c>
      <c r="F158" s="212">
        <f t="shared" si="94"/>
        <v>0</v>
      </c>
      <c r="G158" s="213">
        <f t="shared" si="98"/>
        <v>0</v>
      </c>
      <c r="H158" s="213">
        <f t="shared" si="99"/>
        <v>0</v>
      </c>
      <c r="I158" s="213"/>
      <c r="J158" s="213">
        <f t="shared" si="88"/>
        <v>0</v>
      </c>
      <c r="K158" s="213"/>
      <c r="L158" s="213"/>
      <c r="M158" s="213">
        <f t="shared" si="100"/>
        <v>0</v>
      </c>
      <c r="N158" s="213"/>
      <c r="O158" s="213"/>
      <c r="P158" s="213"/>
      <c r="Q158" s="213"/>
      <c r="R158" s="213"/>
      <c r="S158" s="406" t="s">
        <v>264</v>
      </c>
    </row>
    <row r="159" spans="1:19" s="183" customFormat="1" ht="20.25" customHeight="1">
      <c r="A159" s="209" t="s">
        <v>377</v>
      </c>
      <c r="B159" s="210" t="s">
        <v>378</v>
      </c>
      <c r="C159" s="406">
        <f t="shared" ref="C159:R159" si="102">SUM(C160:C161)</f>
        <v>187</v>
      </c>
      <c r="D159" s="211"/>
      <c r="E159" s="338">
        <f>SUM(E160:E161)</f>
        <v>177</v>
      </c>
      <c r="F159" s="212">
        <f t="shared" si="94"/>
        <v>-10</v>
      </c>
      <c r="G159" s="213">
        <f t="shared" si="102"/>
        <v>177</v>
      </c>
      <c r="H159" s="213">
        <f t="shared" si="102"/>
        <v>0</v>
      </c>
      <c r="I159" s="213">
        <f t="shared" si="102"/>
        <v>0</v>
      </c>
      <c r="J159" s="213">
        <f t="shared" si="102"/>
        <v>0</v>
      </c>
      <c r="K159" s="213">
        <f t="shared" si="102"/>
        <v>0</v>
      </c>
      <c r="L159" s="213"/>
      <c r="M159" s="213">
        <f t="shared" si="102"/>
        <v>0</v>
      </c>
      <c r="N159" s="213">
        <f t="shared" si="102"/>
        <v>0</v>
      </c>
      <c r="O159" s="213">
        <f t="shared" si="102"/>
        <v>0</v>
      </c>
      <c r="P159" s="213">
        <f t="shared" si="102"/>
        <v>177</v>
      </c>
      <c r="Q159" s="213">
        <f t="shared" si="102"/>
        <v>0</v>
      </c>
      <c r="R159" s="213">
        <f t="shared" si="102"/>
        <v>0</v>
      </c>
      <c r="S159" s="406"/>
    </row>
    <row r="160" spans="1:19" s="183" customFormat="1" ht="20.25" customHeight="1">
      <c r="A160" s="209" t="s">
        <v>257</v>
      </c>
      <c r="B160" s="210" t="s">
        <v>379</v>
      </c>
      <c r="C160" s="406">
        <v>117</v>
      </c>
      <c r="D160" s="211"/>
      <c r="E160" s="338">
        <f>G160+R160</f>
        <v>107</v>
      </c>
      <c r="F160" s="212">
        <f t="shared" si="94"/>
        <v>-10</v>
      </c>
      <c r="G160" s="213">
        <f>H160+P160+Q160</f>
        <v>107</v>
      </c>
      <c r="H160" s="213">
        <f>J160+M160</f>
        <v>0</v>
      </c>
      <c r="I160" s="213"/>
      <c r="J160" s="213">
        <f t="shared" si="88"/>
        <v>0</v>
      </c>
      <c r="K160" s="213"/>
      <c r="L160" s="213"/>
      <c r="M160" s="213">
        <f>N160+O160</f>
        <v>0</v>
      </c>
      <c r="N160" s="213"/>
      <c r="O160" s="213">
        <v>0</v>
      </c>
      <c r="P160" s="213">
        <v>107</v>
      </c>
      <c r="Q160" s="213"/>
      <c r="R160" s="213"/>
      <c r="S160" s="406" t="s">
        <v>380</v>
      </c>
    </row>
    <row r="161" spans="1:19" s="183" customFormat="1" ht="20.25" customHeight="1">
      <c r="A161" s="209" t="s">
        <v>257</v>
      </c>
      <c r="B161" s="210" t="s">
        <v>381</v>
      </c>
      <c r="C161" s="406">
        <v>70</v>
      </c>
      <c r="D161" s="211"/>
      <c r="E161" s="338">
        <f>G161+R161</f>
        <v>70</v>
      </c>
      <c r="F161" s="212">
        <f t="shared" si="94"/>
        <v>0</v>
      </c>
      <c r="G161" s="213">
        <f>H161+P161+Q161</f>
        <v>70</v>
      </c>
      <c r="H161" s="213">
        <f>J161+M161</f>
        <v>0</v>
      </c>
      <c r="I161" s="213"/>
      <c r="J161" s="213">
        <f t="shared" si="88"/>
        <v>0</v>
      </c>
      <c r="K161" s="213"/>
      <c r="L161" s="213"/>
      <c r="M161" s="213">
        <f>N161+O161</f>
        <v>0</v>
      </c>
      <c r="N161" s="213"/>
      <c r="O161" s="213">
        <v>0</v>
      </c>
      <c r="P161" s="213">
        <v>70</v>
      </c>
      <c r="Q161" s="213"/>
      <c r="R161" s="213">
        <v>0</v>
      </c>
      <c r="S161" s="406" t="s">
        <v>382</v>
      </c>
    </row>
    <row r="162" spans="1:19" s="183" customFormat="1" ht="20.25" customHeight="1">
      <c r="A162" s="209" t="s">
        <v>383</v>
      </c>
      <c r="B162" s="210" t="s">
        <v>384</v>
      </c>
      <c r="C162" s="406">
        <v>508</v>
      </c>
      <c r="D162" s="211"/>
      <c r="E162" s="338">
        <f>G162+R162</f>
        <v>1376</v>
      </c>
      <c r="F162" s="212">
        <f t="shared" si="94"/>
        <v>868</v>
      </c>
      <c r="G162" s="213">
        <f>H162+P162+Q162</f>
        <v>1376</v>
      </c>
      <c r="H162" s="213">
        <f>J162+M162</f>
        <v>0</v>
      </c>
      <c r="I162" s="213"/>
      <c r="J162" s="213">
        <f t="shared" si="88"/>
        <v>0</v>
      </c>
      <c r="K162" s="213"/>
      <c r="L162" s="213"/>
      <c r="M162" s="213">
        <f>N162+O162</f>
        <v>0</v>
      </c>
      <c r="N162" s="213"/>
      <c r="O162" s="213">
        <v>0</v>
      </c>
      <c r="P162" s="213">
        <v>1376</v>
      </c>
      <c r="Q162" s="213"/>
      <c r="R162" s="213"/>
      <c r="S162" s="406" t="s">
        <v>264</v>
      </c>
    </row>
    <row r="163" spans="1:19" s="183" customFormat="1" ht="20.25" customHeight="1">
      <c r="A163" s="209" t="s">
        <v>385</v>
      </c>
      <c r="B163" s="210" t="s">
        <v>386</v>
      </c>
      <c r="C163" s="406">
        <f>C165+C194+C197+C257+C388</f>
        <v>27900.614000000001</v>
      </c>
      <c r="D163" s="211">
        <f>D165+D194+D197+D257+D388</f>
        <v>0</v>
      </c>
      <c r="E163" s="338">
        <f>E165+E194+E197+E257+E388</f>
        <v>27461.005020000001</v>
      </c>
      <c r="F163" s="212">
        <f t="shared" si="94"/>
        <v>-439.60898000000088</v>
      </c>
      <c r="G163" s="213">
        <f t="shared" ref="G163:R163" si="103">G165+G194+G197+G257+G388</f>
        <v>27461.005020000001</v>
      </c>
      <c r="H163" s="213">
        <f t="shared" si="103"/>
        <v>27461.005020000001</v>
      </c>
      <c r="I163" s="213">
        <f t="shared" si="103"/>
        <v>133</v>
      </c>
      <c r="J163" s="213">
        <f t="shared" si="103"/>
        <v>16657.585020000002</v>
      </c>
      <c r="K163" s="213">
        <f t="shared" si="103"/>
        <v>0</v>
      </c>
      <c r="L163" s="213">
        <f t="shared" si="103"/>
        <v>0</v>
      </c>
      <c r="M163" s="213">
        <f t="shared" si="103"/>
        <v>10803.42</v>
      </c>
      <c r="N163" s="213">
        <f t="shared" si="103"/>
        <v>3623.7999999999997</v>
      </c>
      <c r="O163" s="213">
        <f t="shared" si="103"/>
        <v>7179.62</v>
      </c>
      <c r="P163" s="213">
        <f t="shared" si="103"/>
        <v>0</v>
      </c>
      <c r="Q163" s="213">
        <f t="shared" si="103"/>
        <v>0</v>
      </c>
      <c r="R163" s="213">
        <f t="shared" si="103"/>
        <v>0</v>
      </c>
      <c r="S163" s="406"/>
    </row>
    <row r="164" spans="1:19" s="183" customFormat="1" ht="20.25" customHeight="1">
      <c r="A164" s="209" t="s">
        <v>299</v>
      </c>
      <c r="B164" s="210" t="s">
        <v>648</v>
      </c>
      <c r="C164" s="406"/>
      <c r="D164" s="211"/>
      <c r="E164" s="338">
        <f>E168+E195+E199+E217+E226+E235+E246+E253+E260+E279+E287+E295+E306+E316+E326+E339+E348+E356+E365+E372+E380+E386</f>
        <v>15916.685020000001</v>
      </c>
      <c r="F164" s="212">
        <f t="shared" si="94"/>
        <v>15916.685020000001</v>
      </c>
      <c r="G164" s="406">
        <f t="shared" ref="G164:R164" si="104">G168+G195+G199+G217+G226+G235+G246+G253+G260+G279+G287+G295+G306+G316+G326+G339+G348+G356+G365+G372+G380+G386</f>
        <v>15916.685020000001</v>
      </c>
      <c r="H164" s="406">
        <f t="shared" si="104"/>
        <v>15916.685020000001</v>
      </c>
      <c r="I164" s="406">
        <f t="shared" si="104"/>
        <v>133</v>
      </c>
      <c r="J164" s="406">
        <f t="shared" si="104"/>
        <v>15880.685020000001</v>
      </c>
      <c r="K164" s="406">
        <f t="shared" si="104"/>
        <v>0</v>
      </c>
      <c r="L164" s="406">
        <f t="shared" si="104"/>
        <v>0</v>
      </c>
      <c r="M164" s="406">
        <f t="shared" si="104"/>
        <v>36</v>
      </c>
      <c r="N164" s="406">
        <f t="shared" si="104"/>
        <v>36</v>
      </c>
      <c r="O164" s="406">
        <f t="shared" si="104"/>
        <v>0</v>
      </c>
      <c r="P164" s="406">
        <f t="shared" si="104"/>
        <v>0</v>
      </c>
      <c r="Q164" s="406">
        <f t="shared" si="104"/>
        <v>0</v>
      </c>
      <c r="R164" s="406">
        <f t="shared" si="104"/>
        <v>0</v>
      </c>
      <c r="S164" s="406"/>
    </row>
    <row r="165" spans="1:19" s="183" customFormat="1" ht="20.25" customHeight="1">
      <c r="A165" s="209" t="s">
        <v>387</v>
      </c>
      <c r="B165" s="210" t="s">
        <v>388</v>
      </c>
      <c r="C165" s="406">
        <f>C166+C192</f>
        <v>8002.5260000000007</v>
      </c>
      <c r="D165" s="211"/>
      <c r="E165" s="338">
        <f>E166+E192</f>
        <v>7970.5520000000015</v>
      </c>
      <c r="F165" s="212">
        <f t="shared" si="94"/>
        <v>-31.973999999999251</v>
      </c>
      <c r="G165" s="213">
        <f t="shared" ref="G165:R165" si="105">G166+G192</f>
        <v>7970.5520000000015</v>
      </c>
      <c r="H165" s="213">
        <f t="shared" si="105"/>
        <v>7970.5520000000015</v>
      </c>
      <c r="I165" s="213">
        <f t="shared" si="105"/>
        <v>35</v>
      </c>
      <c r="J165" s="213">
        <f t="shared" si="105"/>
        <v>5190.1520000000019</v>
      </c>
      <c r="K165" s="213">
        <f t="shared" si="105"/>
        <v>0</v>
      </c>
      <c r="L165" s="213">
        <f t="shared" si="105"/>
        <v>0</v>
      </c>
      <c r="M165" s="213">
        <f t="shared" si="105"/>
        <v>2780.4</v>
      </c>
      <c r="N165" s="213">
        <f t="shared" si="105"/>
        <v>950.4</v>
      </c>
      <c r="O165" s="213">
        <f t="shared" si="105"/>
        <v>1830</v>
      </c>
      <c r="P165" s="213">
        <f t="shared" si="105"/>
        <v>0</v>
      </c>
      <c r="Q165" s="213">
        <f t="shared" si="105"/>
        <v>0</v>
      </c>
      <c r="R165" s="213">
        <f t="shared" si="105"/>
        <v>0</v>
      </c>
      <c r="S165" s="406"/>
    </row>
    <row r="166" spans="1:19" s="183" customFormat="1" ht="20.25" customHeight="1">
      <c r="A166" s="209" t="s">
        <v>204</v>
      </c>
      <c r="B166" s="210" t="s">
        <v>389</v>
      </c>
      <c r="C166" s="406">
        <f>C167+C178</f>
        <v>8002.5260000000007</v>
      </c>
      <c r="D166" s="211"/>
      <c r="E166" s="338">
        <f>E167+E178</f>
        <v>7970.5520000000015</v>
      </c>
      <c r="F166" s="212">
        <f t="shared" si="94"/>
        <v>-31.973999999999251</v>
      </c>
      <c r="G166" s="213">
        <f t="shared" ref="G166:R166" si="106">G167+G178</f>
        <v>7970.5520000000015</v>
      </c>
      <c r="H166" s="213">
        <f t="shared" si="106"/>
        <v>7970.5520000000015</v>
      </c>
      <c r="I166" s="213">
        <f t="shared" si="106"/>
        <v>35</v>
      </c>
      <c r="J166" s="213">
        <f t="shared" si="106"/>
        <v>5190.1520000000019</v>
      </c>
      <c r="K166" s="213">
        <f t="shared" si="106"/>
        <v>0</v>
      </c>
      <c r="L166" s="213">
        <f t="shared" si="106"/>
        <v>0</v>
      </c>
      <c r="M166" s="213">
        <f t="shared" si="106"/>
        <v>2780.4</v>
      </c>
      <c r="N166" s="213">
        <f t="shared" si="106"/>
        <v>950.4</v>
      </c>
      <c r="O166" s="213">
        <f t="shared" si="106"/>
        <v>1830</v>
      </c>
      <c r="P166" s="213">
        <f t="shared" si="106"/>
        <v>0</v>
      </c>
      <c r="Q166" s="213">
        <f t="shared" si="106"/>
        <v>0</v>
      </c>
      <c r="R166" s="213">
        <f t="shared" si="106"/>
        <v>0</v>
      </c>
      <c r="S166" s="406" t="s">
        <v>389</v>
      </c>
    </row>
    <row r="167" spans="1:19" s="183" customFormat="1" ht="20.25" customHeight="1">
      <c r="A167" s="209" t="s">
        <v>269</v>
      </c>
      <c r="B167" s="210" t="s">
        <v>390</v>
      </c>
      <c r="C167" s="406">
        <f>SUM(C168:C177)-C170-C171</f>
        <v>6322.5260000000007</v>
      </c>
      <c r="D167" s="211"/>
      <c r="E167" s="338">
        <f>SUM(E168:E177)-E170-E171</f>
        <v>6240.5520000000015</v>
      </c>
      <c r="F167" s="212">
        <f t="shared" si="94"/>
        <v>-81.973999999999251</v>
      </c>
      <c r="G167" s="213">
        <f t="shared" ref="G167:R167" si="107">SUM(G168:G177)-G170-G171</f>
        <v>6240.5520000000015</v>
      </c>
      <c r="H167" s="213">
        <f t="shared" si="107"/>
        <v>6240.5520000000015</v>
      </c>
      <c r="I167" s="213">
        <f t="shared" si="107"/>
        <v>35</v>
      </c>
      <c r="J167" s="213">
        <f t="shared" si="107"/>
        <v>5190.1520000000019</v>
      </c>
      <c r="K167" s="213">
        <f t="shared" si="107"/>
        <v>0</v>
      </c>
      <c r="L167" s="213">
        <f t="shared" si="107"/>
        <v>0</v>
      </c>
      <c r="M167" s="213">
        <f t="shared" si="107"/>
        <v>1050.4000000000001</v>
      </c>
      <c r="N167" s="213">
        <f t="shared" si="107"/>
        <v>950.4</v>
      </c>
      <c r="O167" s="213">
        <f t="shared" si="107"/>
        <v>100</v>
      </c>
      <c r="P167" s="213">
        <f t="shared" si="107"/>
        <v>0</v>
      </c>
      <c r="Q167" s="213">
        <f t="shared" si="107"/>
        <v>0</v>
      </c>
      <c r="R167" s="213">
        <f t="shared" si="107"/>
        <v>0</v>
      </c>
      <c r="S167" s="406"/>
    </row>
    <row r="168" spans="1:19" s="183" customFormat="1" ht="20.25" customHeight="1">
      <c r="A168" s="209" t="s">
        <v>257</v>
      </c>
      <c r="B168" s="210" t="s">
        <v>391</v>
      </c>
      <c r="C168" s="406">
        <v>4601.598</v>
      </c>
      <c r="D168" s="211"/>
      <c r="E168" s="338">
        <f>G168+R168</f>
        <v>4741.5200000000004</v>
      </c>
      <c r="F168" s="212">
        <f t="shared" si="94"/>
        <v>139.92200000000048</v>
      </c>
      <c r="G168" s="213">
        <f>H168+P168+Q168</f>
        <v>4741.5200000000004</v>
      </c>
      <c r="H168" s="213">
        <f>J168+M168</f>
        <v>4741.5200000000004</v>
      </c>
      <c r="I168" s="213">
        <v>35</v>
      </c>
      <c r="J168" s="398">
        <v>4741.5200000000004</v>
      </c>
      <c r="K168" s="213"/>
      <c r="L168" s="213"/>
      <c r="M168" s="213">
        <f>N168+O168</f>
        <v>0</v>
      </c>
      <c r="N168" s="213"/>
      <c r="O168" s="213">
        <v>0</v>
      </c>
      <c r="P168" s="213"/>
      <c r="Q168" s="213"/>
      <c r="R168" s="213">
        <v>0</v>
      </c>
      <c r="S168" s="406"/>
    </row>
    <row r="169" spans="1:19" s="183" customFormat="1" ht="17.25" customHeight="1">
      <c r="A169" s="209" t="s">
        <v>257</v>
      </c>
      <c r="B169" s="210" t="s">
        <v>550</v>
      </c>
      <c r="C169" s="406">
        <f>SUM(C170:C171)</f>
        <v>311.11200000000002</v>
      </c>
      <c r="D169" s="211"/>
      <c r="E169" s="338">
        <f t="shared" ref="E169:R169" si="108">SUM(E170:E171)</f>
        <v>300.38400000000001</v>
      </c>
      <c r="F169" s="212">
        <f t="shared" si="94"/>
        <v>-10.728000000000009</v>
      </c>
      <c r="G169" s="213">
        <f t="shared" si="108"/>
        <v>300.38400000000001</v>
      </c>
      <c r="H169" s="213">
        <f t="shared" si="108"/>
        <v>300.38400000000001</v>
      </c>
      <c r="I169" s="213">
        <f t="shared" si="108"/>
        <v>0</v>
      </c>
      <c r="J169" s="213">
        <f t="shared" si="108"/>
        <v>300.38400000000001</v>
      </c>
      <c r="K169" s="213"/>
      <c r="L169" s="213">
        <f t="shared" si="108"/>
        <v>0</v>
      </c>
      <c r="M169" s="213">
        <f t="shared" si="108"/>
        <v>0</v>
      </c>
      <c r="N169" s="213">
        <f t="shared" si="108"/>
        <v>0</v>
      </c>
      <c r="O169" s="213">
        <f t="shared" si="108"/>
        <v>0</v>
      </c>
      <c r="P169" s="213">
        <f t="shared" si="108"/>
        <v>0</v>
      </c>
      <c r="Q169" s="213">
        <f t="shared" si="108"/>
        <v>0</v>
      </c>
      <c r="R169" s="213">
        <f t="shared" si="108"/>
        <v>0</v>
      </c>
      <c r="S169" s="406"/>
    </row>
    <row r="170" spans="1:19" s="183" customFormat="1" ht="17.25" customHeight="1">
      <c r="A170" s="209" t="s">
        <v>111</v>
      </c>
      <c r="B170" s="210" t="s">
        <v>780</v>
      </c>
      <c r="C170" s="406">
        <v>300.38400000000001</v>
      </c>
      <c r="D170" s="244">
        <v>278.92800000000005</v>
      </c>
      <c r="E170" s="338">
        <f>G170+R170</f>
        <v>289.654</v>
      </c>
      <c r="F170" s="212">
        <f t="shared" si="94"/>
        <v>-10.730000000000018</v>
      </c>
      <c r="G170" s="213">
        <f t="shared" ref="G170:G177" si="109">H170+P170+Q170</f>
        <v>289.654</v>
      </c>
      <c r="H170" s="213">
        <f t="shared" ref="H170:H177" si="110">J170+M170</f>
        <v>289.654</v>
      </c>
      <c r="I170" s="213"/>
      <c r="J170" s="213">
        <v>289.654</v>
      </c>
      <c r="K170" s="213"/>
      <c r="L170" s="213"/>
      <c r="M170" s="213">
        <f>N170+O170</f>
        <v>0</v>
      </c>
      <c r="N170" s="213"/>
      <c r="O170" s="213">
        <v>0</v>
      </c>
      <c r="P170" s="213"/>
      <c r="Q170" s="213"/>
      <c r="R170" s="213">
        <v>0</v>
      </c>
      <c r="S170" s="406"/>
    </row>
    <row r="171" spans="1:19" s="183" customFormat="1" ht="17.25" customHeight="1">
      <c r="A171" s="209" t="s">
        <v>111</v>
      </c>
      <c r="B171" s="210" t="s">
        <v>392</v>
      </c>
      <c r="C171" s="406">
        <v>10.728</v>
      </c>
      <c r="D171" s="211"/>
      <c r="E171" s="338">
        <f>G171+R171</f>
        <v>10.73</v>
      </c>
      <c r="F171" s="212">
        <f t="shared" si="94"/>
        <v>2.0000000000006679E-3</v>
      </c>
      <c r="G171" s="213">
        <f t="shared" si="109"/>
        <v>10.73</v>
      </c>
      <c r="H171" s="213">
        <f t="shared" si="110"/>
        <v>10.73</v>
      </c>
      <c r="I171" s="213"/>
      <c r="J171" s="213">
        <v>10.73</v>
      </c>
      <c r="K171" s="213"/>
      <c r="L171" s="213"/>
      <c r="M171" s="213">
        <f>N171+O171</f>
        <v>0</v>
      </c>
      <c r="N171" s="213"/>
      <c r="O171" s="213">
        <v>0</v>
      </c>
      <c r="P171" s="213"/>
      <c r="Q171" s="213"/>
      <c r="R171" s="213">
        <v>0</v>
      </c>
      <c r="S171" s="406"/>
    </row>
    <row r="172" spans="1:19" s="183" customFormat="1" ht="30" customHeight="1">
      <c r="A172" s="209" t="s">
        <v>257</v>
      </c>
      <c r="B172" s="215" t="s">
        <v>292</v>
      </c>
      <c r="C172" s="406">
        <v>61.706000000000003</v>
      </c>
      <c r="D172" s="211"/>
      <c r="E172" s="338">
        <f>G172</f>
        <v>61.71</v>
      </c>
      <c r="F172" s="212">
        <f t="shared" si="94"/>
        <v>3.9999999999977831E-3</v>
      </c>
      <c r="G172" s="213">
        <f t="shared" si="109"/>
        <v>61.71</v>
      </c>
      <c r="H172" s="213">
        <f t="shared" si="110"/>
        <v>61.71</v>
      </c>
      <c r="I172" s="213"/>
      <c r="J172" s="213">
        <v>61.71</v>
      </c>
      <c r="K172" s="213"/>
      <c r="L172" s="213"/>
      <c r="M172" s="213">
        <f>N172+O172</f>
        <v>0</v>
      </c>
      <c r="N172" s="213"/>
      <c r="O172" s="213">
        <v>0</v>
      </c>
      <c r="P172" s="213"/>
      <c r="Q172" s="213"/>
      <c r="R172" s="213">
        <v>0</v>
      </c>
      <c r="S172" s="406"/>
    </row>
    <row r="173" spans="1:19" s="183" customFormat="1" ht="17.25" customHeight="1">
      <c r="A173" s="209" t="s">
        <v>257</v>
      </c>
      <c r="B173" s="210" t="s">
        <v>707</v>
      </c>
      <c r="C173" s="406">
        <v>22.170999999999999</v>
      </c>
      <c r="D173" s="211"/>
      <c r="E173" s="338">
        <f>G173+R173</f>
        <v>22.17</v>
      </c>
      <c r="F173" s="212">
        <f t="shared" si="94"/>
        <v>-9.9999999999766942E-4</v>
      </c>
      <c r="G173" s="213">
        <f t="shared" si="109"/>
        <v>22.17</v>
      </c>
      <c r="H173" s="213">
        <f t="shared" si="110"/>
        <v>22.17</v>
      </c>
      <c r="I173" s="213"/>
      <c r="J173" s="213">
        <v>22.17</v>
      </c>
      <c r="K173" s="213"/>
      <c r="L173" s="213"/>
      <c r="M173" s="213">
        <f t="shared" ref="M173:M263" si="111">N173+O173</f>
        <v>0</v>
      </c>
      <c r="N173" s="213"/>
      <c r="O173" s="213">
        <v>0</v>
      </c>
      <c r="P173" s="213"/>
      <c r="Q173" s="213"/>
      <c r="R173" s="213"/>
      <c r="S173" s="406"/>
    </row>
    <row r="174" spans="1:19" s="183" customFormat="1" ht="17.25" customHeight="1">
      <c r="A174" s="209" t="s">
        <v>257</v>
      </c>
      <c r="B174" s="210" t="s">
        <v>781</v>
      </c>
      <c r="C174" s="406">
        <v>60.792000000000002</v>
      </c>
      <c r="D174" s="211"/>
      <c r="E174" s="338">
        <f>G174+R174</f>
        <v>64.367999999999995</v>
      </c>
      <c r="F174" s="212">
        <f t="shared" si="94"/>
        <v>3.5759999999999934</v>
      </c>
      <c r="G174" s="213">
        <f t="shared" si="109"/>
        <v>64.367999999999995</v>
      </c>
      <c r="H174" s="213">
        <f t="shared" si="110"/>
        <v>64.367999999999995</v>
      </c>
      <c r="I174" s="213"/>
      <c r="J174" s="213">
        <v>64.367999999999995</v>
      </c>
      <c r="K174" s="213"/>
      <c r="L174" s="213"/>
      <c r="M174" s="213">
        <f t="shared" si="111"/>
        <v>0</v>
      </c>
      <c r="N174" s="213"/>
      <c r="O174" s="213">
        <v>0</v>
      </c>
      <c r="P174" s="213"/>
      <c r="Q174" s="213"/>
      <c r="R174" s="213"/>
      <c r="S174" s="406"/>
    </row>
    <row r="175" spans="1:19" s="183" customFormat="1" ht="17.25" customHeight="1">
      <c r="A175" s="209" t="s">
        <v>257</v>
      </c>
      <c r="B175" s="210" t="s">
        <v>712</v>
      </c>
      <c r="C175" s="406">
        <v>1154.53</v>
      </c>
      <c r="D175" s="211"/>
      <c r="E175" s="338">
        <f>H175</f>
        <v>950.4</v>
      </c>
      <c r="F175" s="212">
        <f t="shared" si="94"/>
        <v>-204.13</v>
      </c>
      <c r="G175" s="213">
        <f>H175+P175+Q175</f>
        <v>950.4</v>
      </c>
      <c r="H175" s="213">
        <f>J175+M175</f>
        <v>950.4</v>
      </c>
      <c r="I175" s="213"/>
      <c r="J175" s="213">
        <f>K175+L175</f>
        <v>0</v>
      </c>
      <c r="K175" s="213"/>
      <c r="L175" s="213"/>
      <c r="M175" s="213">
        <f>N175+O175</f>
        <v>950.4</v>
      </c>
      <c r="N175" s="400">
        <f>33*16*1.8</f>
        <v>950.4</v>
      </c>
      <c r="O175" s="213">
        <v>0</v>
      </c>
      <c r="P175" s="213">
        <v>0</v>
      </c>
      <c r="Q175" s="213">
        <v>0</v>
      </c>
      <c r="R175" s="213">
        <v>0</v>
      </c>
      <c r="S175" s="406"/>
    </row>
    <row r="176" spans="1:19" s="183" customFormat="1" ht="17.25" customHeight="1">
      <c r="A176" s="209" t="s">
        <v>257</v>
      </c>
      <c r="B176" s="210" t="s">
        <v>782</v>
      </c>
      <c r="C176" s="406">
        <v>100</v>
      </c>
      <c r="D176" s="211"/>
      <c r="E176" s="338">
        <f>H176</f>
        <v>100</v>
      </c>
      <c r="F176" s="212">
        <f t="shared" si="94"/>
        <v>0</v>
      </c>
      <c r="G176" s="213">
        <f>H176+P176+Q176</f>
        <v>100</v>
      </c>
      <c r="H176" s="213">
        <f>J176+M176</f>
        <v>100</v>
      </c>
      <c r="I176" s="213"/>
      <c r="J176" s="213">
        <f>K176+L176</f>
        <v>0</v>
      </c>
      <c r="K176" s="213"/>
      <c r="L176" s="213"/>
      <c r="M176" s="213">
        <f>N176+O176</f>
        <v>100</v>
      </c>
      <c r="N176" s="213"/>
      <c r="O176" s="213">
        <v>100</v>
      </c>
      <c r="P176" s="213">
        <v>0</v>
      </c>
      <c r="Q176" s="213">
        <v>0</v>
      </c>
      <c r="R176" s="213">
        <v>0</v>
      </c>
      <c r="S176" s="406"/>
    </row>
    <row r="177" spans="1:19" s="183" customFormat="1" ht="17.25" customHeight="1">
      <c r="A177" s="209" t="s">
        <v>257</v>
      </c>
      <c r="B177" s="210" t="s">
        <v>393</v>
      </c>
      <c r="C177" s="406">
        <v>10.617000000000001</v>
      </c>
      <c r="D177" s="211"/>
      <c r="E177" s="338">
        <f>H177</f>
        <v>0</v>
      </c>
      <c r="F177" s="212">
        <f t="shared" si="94"/>
        <v>-10.617000000000001</v>
      </c>
      <c r="G177" s="213">
        <f t="shared" si="109"/>
        <v>0</v>
      </c>
      <c r="H177" s="213">
        <f t="shared" si="110"/>
        <v>0</v>
      </c>
      <c r="I177" s="213"/>
      <c r="J177" s="213">
        <f t="shared" ref="J177:J242" si="112">K177+L177</f>
        <v>0</v>
      </c>
      <c r="K177" s="213"/>
      <c r="L177" s="213"/>
      <c r="M177" s="213">
        <f t="shared" si="111"/>
        <v>0</v>
      </c>
      <c r="N177" s="213"/>
      <c r="O177" s="213">
        <v>0</v>
      </c>
      <c r="P177" s="213">
        <v>0</v>
      </c>
      <c r="Q177" s="213">
        <v>0</v>
      </c>
      <c r="R177" s="213">
        <v>0</v>
      </c>
      <c r="S177" s="406"/>
    </row>
    <row r="178" spans="1:19" s="183" customFormat="1" ht="17.25" customHeight="1">
      <c r="A178" s="209" t="s">
        <v>394</v>
      </c>
      <c r="B178" s="210" t="s">
        <v>395</v>
      </c>
      <c r="C178" s="406">
        <f t="shared" ref="C178:R178" si="113">SUM(C179:C193)</f>
        <v>1680</v>
      </c>
      <c r="D178" s="406">
        <f t="shared" si="113"/>
        <v>0</v>
      </c>
      <c r="E178" s="338">
        <f t="shared" si="113"/>
        <v>1730</v>
      </c>
      <c r="F178" s="406">
        <f t="shared" si="113"/>
        <v>50</v>
      </c>
      <c r="G178" s="406">
        <f t="shared" si="113"/>
        <v>1730</v>
      </c>
      <c r="H178" s="406">
        <f t="shared" si="113"/>
        <v>1730</v>
      </c>
      <c r="I178" s="406">
        <f t="shared" si="113"/>
        <v>0</v>
      </c>
      <c r="J178" s="406">
        <f t="shared" si="113"/>
        <v>0</v>
      </c>
      <c r="K178" s="406">
        <f t="shared" si="113"/>
        <v>0</v>
      </c>
      <c r="L178" s="406">
        <f t="shared" si="113"/>
        <v>0</v>
      </c>
      <c r="M178" s="406">
        <f t="shared" si="113"/>
        <v>1730</v>
      </c>
      <c r="N178" s="406">
        <f t="shared" si="113"/>
        <v>0</v>
      </c>
      <c r="O178" s="406">
        <f t="shared" si="113"/>
        <v>1730</v>
      </c>
      <c r="P178" s="406">
        <f t="shared" si="113"/>
        <v>0</v>
      </c>
      <c r="Q178" s="406">
        <f t="shared" si="113"/>
        <v>0</v>
      </c>
      <c r="R178" s="406">
        <f t="shared" si="113"/>
        <v>0</v>
      </c>
      <c r="S178" s="406">
        <f>SUM(S179:S188)</f>
        <v>0</v>
      </c>
    </row>
    <row r="179" spans="1:19" s="183" customFormat="1" ht="32.25" customHeight="1">
      <c r="A179" s="209" t="s">
        <v>257</v>
      </c>
      <c r="B179" s="397" t="s">
        <v>803</v>
      </c>
      <c r="C179" s="406">
        <v>200</v>
      </c>
      <c r="D179" s="211"/>
      <c r="E179" s="338">
        <f>G179</f>
        <v>250</v>
      </c>
      <c r="F179" s="212">
        <f t="shared" si="94"/>
        <v>50</v>
      </c>
      <c r="G179" s="213">
        <f t="shared" ref="G179:G193" si="114">H179+P179+Q179</f>
        <v>250</v>
      </c>
      <c r="H179" s="213">
        <f t="shared" ref="H179:H193" si="115">J179+M179</f>
        <v>250</v>
      </c>
      <c r="I179" s="213"/>
      <c r="J179" s="213">
        <f t="shared" si="112"/>
        <v>0</v>
      </c>
      <c r="K179" s="213"/>
      <c r="L179" s="213"/>
      <c r="M179" s="213">
        <f t="shared" si="111"/>
        <v>250</v>
      </c>
      <c r="N179" s="213"/>
      <c r="O179" s="213">
        <v>250</v>
      </c>
      <c r="P179" s="213">
        <v>0</v>
      </c>
      <c r="Q179" s="213"/>
      <c r="R179" s="213"/>
      <c r="S179" s="406"/>
    </row>
    <row r="180" spans="1:19" s="183" customFormat="1" ht="17.25" customHeight="1">
      <c r="A180" s="209" t="s">
        <v>257</v>
      </c>
      <c r="B180" s="215" t="s">
        <v>396</v>
      </c>
      <c r="C180" s="406">
        <v>500</v>
      </c>
      <c r="D180" s="211"/>
      <c r="E180" s="338">
        <f t="shared" ref="E180:E193" si="116">G180+R180</f>
        <v>600</v>
      </c>
      <c r="F180" s="212">
        <f t="shared" si="94"/>
        <v>100</v>
      </c>
      <c r="G180" s="213">
        <f t="shared" si="114"/>
        <v>600</v>
      </c>
      <c r="H180" s="213">
        <f t="shared" si="115"/>
        <v>600</v>
      </c>
      <c r="I180" s="213"/>
      <c r="J180" s="213">
        <f t="shared" si="112"/>
        <v>0</v>
      </c>
      <c r="K180" s="213"/>
      <c r="L180" s="213"/>
      <c r="M180" s="213">
        <f t="shared" si="111"/>
        <v>600</v>
      </c>
      <c r="N180" s="213"/>
      <c r="O180" s="213">
        <v>600</v>
      </c>
      <c r="P180" s="213">
        <v>0</v>
      </c>
      <c r="Q180" s="213"/>
      <c r="R180" s="213"/>
      <c r="S180" s="406"/>
    </row>
    <row r="181" spans="1:19" s="183" customFormat="1" ht="65.25" customHeight="1">
      <c r="A181" s="209" t="s">
        <v>257</v>
      </c>
      <c r="B181" s="397" t="s">
        <v>815</v>
      </c>
      <c r="C181" s="406"/>
      <c r="D181" s="211"/>
      <c r="E181" s="338">
        <f t="shared" ref="E181" si="117">G181+R181</f>
        <v>200</v>
      </c>
      <c r="F181" s="212">
        <f t="shared" ref="F181" si="118">E181-C181</f>
        <v>200</v>
      </c>
      <c r="G181" s="213">
        <f t="shared" ref="G181" si="119">H181+P181+Q181</f>
        <v>200</v>
      </c>
      <c r="H181" s="213">
        <f t="shared" ref="H181" si="120">J181+M181</f>
        <v>200</v>
      </c>
      <c r="I181" s="213"/>
      <c r="J181" s="213">
        <f t="shared" ref="J181" si="121">K181+L181</f>
        <v>0</v>
      </c>
      <c r="K181" s="213"/>
      <c r="L181" s="213"/>
      <c r="M181" s="213">
        <f t="shared" ref="M181" si="122">N181+O181</f>
        <v>200</v>
      </c>
      <c r="N181" s="213"/>
      <c r="O181" s="213">
        <v>200</v>
      </c>
      <c r="P181" s="213">
        <v>0</v>
      </c>
      <c r="Q181" s="213"/>
      <c r="R181" s="213"/>
      <c r="S181" s="406"/>
    </row>
    <row r="182" spans="1:19" s="183" customFormat="1" ht="17.25" customHeight="1">
      <c r="A182" s="209" t="s">
        <v>257</v>
      </c>
      <c r="B182" s="210" t="s">
        <v>397</v>
      </c>
      <c r="C182" s="406">
        <v>150</v>
      </c>
      <c r="D182" s="211"/>
      <c r="E182" s="338">
        <f t="shared" si="116"/>
        <v>0</v>
      </c>
      <c r="F182" s="212">
        <f t="shared" si="94"/>
        <v>-150</v>
      </c>
      <c r="G182" s="213">
        <f t="shared" si="114"/>
        <v>0</v>
      </c>
      <c r="H182" s="213">
        <f t="shared" si="115"/>
        <v>0</v>
      </c>
      <c r="I182" s="213"/>
      <c r="J182" s="213">
        <f t="shared" si="112"/>
        <v>0</v>
      </c>
      <c r="K182" s="213"/>
      <c r="L182" s="213"/>
      <c r="M182" s="213">
        <f t="shared" si="111"/>
        <v>0</v>
      </c>
      <c r="N182" s="213"/>
      <c r="O182" s="213"/>
      <c r="P182" s="213">
        <v>0</v>
      </c>
      <c r="Q182" s="213"/>
      <c r="R182" s="213"/>
      <c r="S182" s="406"/>
    </row>
    <row r="183" spans="1:19" s="183" customFormat="1" ht="43.5" customHeight="1">
      <c r="A183" s="209" t="s">
        <v>257</v>
      </c>
      <c r="B183" s="397" t="s">
        <v>797</v>
      </c>
      <c r="C183" s="406">
        <v>80</v>
      </c>
      <c r="D183" s="211"/>
      <c r="E183" s="338">
        <f t="shared" si="116"/>
        <v>80</v>
      </c>
      <c r="F183" s="212">
        <f t="shared" si="94"/>
        <v>0</v>
      </c>
      <c r="G183" s="213">
        <f t="shared" si="114"/>
        <v>80</v>
      </c>
      <c r="H183" s="213">
        <f t="shared" si="115"/>
        <v>80</v>
      </c>
      <c r="I183" s="213"/>
      <c r="J183" s="213">
        <f t="shared" si="112"/>
        <v>0</v>
      </c>
      <c r="K183" s="213"/>
      <c r="L183" s="213"/>
      <c r="M183" s="213">
        <f>N183+O183</f>
        <v>80</v>
      </c>
      <c r="N183" s="213"/>
      <c r="O183" s="213">
        <v>80</v>
      </c>
      <c r="P183" s="213">
        <v>0</v>
      </c>
      <c r="Q183" s="213"/>
      <c r="R183" s="213"/>
      <c r="S183" s="406"/>
    </row>
    <row r="184" spans="1:19" s="183" customFormat="1" ht="25.5" customHeight="1">
      <c r="A184" s="209" t="s">
        <v>257</v>
      </c>
      <c r="B184" s="215" t="s">
        <v>711</v>
      </c>
      <c r="C184" s="406">
        <v>200</v>
      </c>
      <c r="D184" s="211"/>
      <c r="E184" s="338">
        <f t="shared" si="116"/>
        <v>170</v>
      </c>
      <c r="F184" s="212">
        <f t="shared" si="94"/>
        <v>-30</v>
      </c>
      <c r="G184" s="213">
        <f t="shared" si="114"/>
        <v>170</v>
      </c>
      <c r="H184" s="213">
        <f t="shared" si="115"/>
        <v>170</v>
      </c>
      <c r="I184" s="213"/>
      <c r="J184" s="213">
        <f t="shared" si="112"/>
        <v>0</v>
      </c>
      <c r="K184" s="213"/>
      <c r="L184" s="213"/>
      <c r="M184" s="213">
        <f t="shared" si="111"/>
        <v>170</v>
      </c>
      <c r="N184" s="213"/>
      <c r="O184" s="213">
        <v>170</v>
      </c>
      <c r="P184" s="213">
        <v>0</v>
      </c>
      <c r="Q184" s="213"/>
      <c r="R184" s="213"/>
      <c r="S184" s="406"/>
    </row>
    <row r="185" spans="1:19" s="183" customFormat="1" ht="17.25" customHeight="1">
      <c r="A185" s="209" t="s">
        <v>257</v>
      </c>
      <c r="B185" s="210" t="s">
        <v>398</v>
      </c>
      <c r="C185" s="406">
        <v>150</v>
      </c>
      <c r="D185" s="211"/>
      <c r="E185" s="338">
        <f t="shared" si="116"/>
        <v>0</v>
      </c>
      <c r="F185" s="212">
        <f t="shared" si="94"/>
        <v>-150</v>
      </c>
      <c r="G185" s="213">
        <f t="shared" si="114"/>
        <v>0</v>
      </c>
      <c r="H185" s="213">
        <f t="shared" si="115"/>
        <v>0</v>
      </c>
      <c r="I185" s="213"/>
      <c r="J185" s="213">
        <f t="shared" si="112"/>
        <v>0</v>
      </c>
      <c r="K185" s="213"/>
      <c r="L185" s="213"/>
      <c r="M185" s="213">
        <f t="shared" si="111"/>
        <v>0</v>
      </c>
      <c r="N185" s="213"/>
      <c r="O185" s="213"/>
      <c r="P185" s="213">
        <v>0</v>
      </c>
      <c r="Q185" s="213"/>
      <c r="R185" s="213"/>
      <c r="S185" s="406"/>
    </row>
    <row r="186" spans="1:19" s="183" customFormat="1" ht="32.25" customHeight="1">
      <c r="A186" s="209" t="s">
        <v>257</v>
      </c>
      <c r="B186" s="397" t="s">
        <v>804</v>
      </c>
      <c r="C186" s="406">
        <v>400</v>
      </c>
      <c r="D186" s="211"/>
      <c r="E186" s="338">
        <f t="shared" si="116"/>
        <v>150</v>
      </c>
      <c r="F186" s="212">
        <f t="shared" si="94"/>
        <v>-250</v>
      </c>
      <c r="G186" s="213">
        <f t="shared" si="114"/>
        <v>150</v>
      </c>
      <c r="H186" s="213">
        <f t="shared" si="115"/>
        <v>150</v>
      </c>
      <c r="I186" s="213"/>
      <c r="J186" s="213">
        <f t="shared" si="112"/>
        <v>0</v>
      </c>
      <c r="K186" s="213"/>
      <c r="L186" s="213"/>
      <c r="M186" s="213">
        <f>N186+O186</f>
        <v>150</v>
      </c>
      <c r="N186" s="213"/>
      <c r="O186" s="213">
        <v>150</v>
      </c>
      <c r="P186" s="213">
        <v>0</v>
      </c>
      <c r="Q186" s="213"/>
      <c r="R186" s="213"/>
      <c r="S186" s="406"/>
    </row>
    <row r="187" spans="1:19" s="183" customFormat="1" ht="34.5" hidden="1" customHeight="1">
      <c r="A187" s="209" t="s">
        <v>257</v>
      </c>
      <c r="B187" s="215" t="s">
        <v>553</v>
      </c>
      <c r="C187" s="406"/>
      <c r="D187" s="211"/>
      <c r="E187" s="338">
        <f t="shared" si="116"/>
        <v>0</v>
      </c>
      <c r="F187" s="212">
        <f t="shared" si="94"/>
        <v>0</v>
      </c>
      <c r="G187" s="213">
        <f t="shared" si="114"/>
        <v>0</v>
      </c>
      <c r="H187" s="213">
        <f t="shared" si="115"/>
        <v>0</v>
      </c>
      <c r="I187" s="213"/>
      <c r="J187" s="213">
        <f t="shared" si="112"/>
        <v>0</v>
      </c>
      <c r="K187" s="213"/>
      <c r="L187" s="213"/>
      <c r="M187" s="213">
        <f t="shared" ref="M187:M193" si="123">N187+O187</f>
        <v>0</v>
      </c>
      <c r="N187" s="213"/>
      <c r="O187" s="213"/>
      <c r="P187" s="213"/>
      <c r="Q187" s="213"/>
      <c r="R187" s="213"/>
      <c r="S187" s="406"/>
    </row>
    <row r="188" spans="1:19" s="183" customFormat="1" ht="17.25" hidden="1" customHeight="1">
      <c r="A188" s="209" t="s">
        <v>257</v>
      </c>
      <c r="B188" s="210" t="s">
        <v>399</v>
      </c>
      <c r="C188" s="406"/>
      <c r="D188" s="211"/>
      <c r="E188" s="338">
        <f t="shared" si="116"/>
        <v>0</v>
      </c>
      <c r="F188" s="212">
        <f t="shared" si="94"/>
        <v>0</v>
      </c>
      <c r="G188" s="213">
        <f t="shared" si="114"/>
        <v>0</v>
      </c>
      <c r="H188" s="213">
        <f t="shared" si="115"/>
        <v>0</v>
      </c>
      <c r="I188" s="213"/>
      <c r="J188" s="213">
        <f t="shared" si="112"/>
        <v>0</v>
      </c>
      <c r="K188" s="213"/>
      <c r="L188" s="213"/>
      <c r="M188" s="213">
        <f t="shared" si="123"/>
        <v>0</v>
      </c>
      <c r="N188" s="213"/>
      <c r="O188" s="213"/>
      <c r="P188" s="213">
        <v>0</v>
      </c>
      <c r="Q188" s="213"/>
      <c r="R188" s="213"/>
      <c r="S188" s="406"/>
    </row>
    <row r="189" spans="1:19" s="183" customFormat="1" ht="17.25" hidden="1" customHeight="1">
      <c r="A189" s="209" t="s">
        <v>257</v>
      </c>
      <c r="B189" s="245" t="s">
        <v>551</v>
      </c>
      <c r="C189" s="406"/>
      <c r="D189" s="211"/>
      <c r="E189" s="338">
        <f t="shared" si="116"/>
        <v>0</v>
      </c>
      <c r="F189" s="212">
        <f t="shared" si="94"/>
        <v>0</v>
      </c>
      <c r="G189" s="213">
        <f t="shared" si="114"/>
        <v>0</v>
      </c>
      <c r="H189" s="213">
        <f t="shared" si="115"/>
        <v>0</v>
      </c>
      <c r="I189" s="213"/>
      <c r="J189" s="213">
        <f t="shared" si="112"/>
        <v>0</v>
      </c>
      <c r="K189" s="213"/>
      <c r="L189" s="213"/>
      <c r="M189" s="213">
        <f t="shared" si="123"/>
        <v>0</v>
      </c>
      <c r="N189" s="213"/>
      <c r="O189" s="213"/>
      <c r="P189" s="213"/>
      <c r="Q189" s="213"/>
      <c r="R189" s="213"/>
      <c r="S189" s="406"/>
    </row>
    <row r="190" spans="1:19" s="183" customFormat="1" ht="22.5" hidden="1" customHeight="1">
      <c r="A190" s="209" t="s">
        <v>257</v>
      </c>
      <c r="B190" s="245" t="s">
        <v>706</v>
      </c>
      <c r="C190" s="406"/>
      <c r="D190" s="211"/>
      <c r="E190" s="338">
        <f t="shared" si="116"/>
        <v>0</v>
      </c>
      <c r="F190" s="212">
        <f t="shared" si="94"/>
        <v>0</v>
      </c>
      <c r="G190" s="213">
        <f t="shared" si="114"/>
        <v>0</v>
      </c>
      <c r="H190" s="213">
        <f t="shared" si="115"/>
        <v>0</v>
      </c>
      <c r="I190" s="213"/>
      <c r="J190" s="213">
        <f t="shared" si="112"/>
        <v>0</v>
      </c>
      <c r="K190" s="213"/>
      <c r="L190" s="213"/>
      <c r="M190" s="213">
        <f t="shared" si="123"/>
        <v>0</v>
      </c>
      <c r="N190" s="213"/>
      <c r="O190" s="213"/>
      <c r="P190" s="213"/>
      <c r="Q190" s="213"/>
      <c r="R190" s="213"/>
      <c r="S190" s="406"/>
    </row>
    <row r="191" spans="1:19" s="183" customFormat="1" ht="41.25" hidden="1" customHeight="1">
      <c r="A191" s="209" t="s">
        <v>257</v>
      </c>
      <c r="B191" s="245" t="s">
        <v>552</v>
      </c>
      <c r="C191" s="406"/>
      <c r="D191" s="211"/>
      <c r="E191" s="338">
        <f t="shared" si="116"/>
        <v>0</v>
      </c>
      <c r="F191" s="212">
        <f t="shared" si="94"/>
        <v>0</v>
      </c>
      <c r="G191" s="213">
        <f t="shared" si="114"/>
        <v>0</v>
      </c>
      <c r="H191" s="213">
        <f t="shared" si="115"/>
        <v>0</v>
      </c>
      <c r="I191" s="213"/>
      <c r="J191" s="213">
        <f t="shared" si="112"/>
        <v>0</v>
      </c>
      <c r="K191" s="213"/>
      <c r="L191" s="213"/>
      <c r="M191" s="213">
        <f t="shared" si="123"/>
        <v>0</v>
      </c>
      <c r="N191" s="213"/>
      <c r="O191" s="213"/>
      <c r="P191" s="213"/>
      <c r="Q191" s="213"/>
      <c r="R191" s="213"/>
      <c r="S191" s="406"/>
    </row>
    <row r="192" spans="1:19" s="183" customFormat="1" ht="17.25" hidden="1" customHeight="1">
      <c r="A192" s="209"/>
      <c r="B192" s="210"/>
      <c r="C192" s="406"/>
      <c r="D192" s="211"/>
      <c r="E192" s="338">
        <f t="shared" si="116"/>
        <v>0</v>
      </c>
      <c r="F192" s="212">
        <f t="shared" si="94"/>
        <v>0</v>
      </c>
      <c r="G192" s="213">
        <f t="shared" si="114"/>
        <v>0</v>
      </c>
      <c r="H192" s="213">
        <f t="shared" si="115"/>
        <v>0</v>
      </c>
      <c r="I192" s="213"/>
      <c r="J192" s="213">
        <f t="shared" si="112"/>
        <v>0</v>
      </c>
      <c r="K192" s="213"/>
      <c r="L192" s="213"/>
      <c r="M192" s="213">
        <f t="shared" si="123"/>
        <v>0</v>
      </c>
      <c r="N192" s="213"/>
      <c r="O192" s="213"/>
      <c r="P192" s="213"/>
      <c r="Q192" s="213"/>
      <c r="R192" s="213"/>
      <c r="S192" s="406"/>
    </row>
    <row r="193" spans="1:19" s="183" customFormat="1" ht="27" customHeight="1">
      <c r="A193" s="209"/>
      <c r="B193" s="401" t="s">
        <v>706</v>
      </c>
      <c r="C193" s="406"/>
      <c r="D193" s="211"/>
      <c r="E193" s="338">
        <f t="shared" si="116"/>
        <v>280</v>
      </c>
      <c r="F193" s="212">
        <f t="shared" si="94"/>
        <v>280</v>
      </c>
      <c r="G193" s="213">
        <f t="shared" si="114"/>
        <v>280</v>
      </c>
      <c r="H193" s="213">
        <f t="shared" si="115"/>
        <v>280</v>
      </c>
      <c r="I193" s="213"/>
      <c r="J193" s="213">
        <f t="shared" si="112"/>
        <v>0</v>
      </c>
      <c r="K193" s="213"/>
      <c r="L193" s="213"/>
      <c r="M193" s="213">
        <f t="shared" si="123"/>
        <v>280</v>
      </c>
      <c r="N193" s="213"/>
      <c r="O193" s="213">
        <v>280</v>
      </c>
      <c r="P193" s="213"/>
      <c r="Q193" s="213"/>
      <c r="R193" s="213"/>
      <c r="S193" s="406"/>
    </row>
    <row r="194" spans="1:19" s="183" customFormat="1" ht="17.25" customHeight="1">
      <c r="A194" s="209" t="s">
        <v>400</v>
      </c>
      <c r="B194" s="210" t="s">
        <v>401</v>
      </c>
      <c r="C194" s="406">
        <f t="shared" ref="C194:R194" si="124">SUM(C195:C196)</f>
        <v>1288.912</v>
      </c>
      <c r="D194" s="211"/>
      <c r="E194" s="338">
        <f t="shared" si="124"/>
        <v>1437.6120000000001</v>
      </c>
      <c r="F194" s="212">
        <f t="shared" si="94"/>
        <v>148.70000000000005</v>
      </c>
      <c r="G194" s="213">
        <f t="shared" si="124"/>
        <v>1437.6120000000001</v>
      </c>
      <c r="H194" s="213">
        <f t="shared" si="124"/>
        <v>1437.6120000000001</v>
      </c>
      <c r="I194" s="213">
        <f t="shared" si="124"/>
        <v>0</v>
      </c>
      <c r="J194" s="213">
        <f t="shared" si="124"/>
        <v>221.71200000000002</v>
      </c>
      <c r="K194" s="213">
        <f t="shared" si="124"/>
        <v>0</v>
      </c>
      <c r="L194" s="213">
        <f t="shared" si="124"/>
        <v>0</v>
      </c>
      <c r="M194" s="213">
        <f t="shared" si="124"/>
        <v>1215.9000000000001</v>
      </c>
      <c r="N194" s="213">
        <f t="shared" si="124"/>
        <v>0</v>
      </c>
      <c r="O194" s="213">
        <f t="shared" si="124"/>
        <v>1215.9000000000001</v>
      </c>
      <c r="P194" s="213">
        <f t="shared" si="124"/>
        <v>0</v>
      </c>
      <c r="Q194" s="213">
        <f t="shared" si="124"/>
        <v>0</v>
      </c>
      <c r="R194" s="213">
        <f t="shared" si="124"/>
        <v>0</v>
      </c>
      <c r="S194" s="406" t="s">
        <v>339</v>
      </c>
    </row>
    <row r="195" spans="1:19" s="183" customFormat="1" ht="17.25" customHeight="1">
      <c r="A195" s="209" t="s">
        <v>257</v>
      </c>
      <c r="B195" s="210" t="s">
        <v>402</v>
      </c>
      <c r="C195" s="406">
        <v>221.71199999999999</v>
      </c>
      <c r="D195" s="211"/>
      <c r="E195" s="338">
        <f>G195+R195</f>
        <v>221.71200000000002</v>
      </c>
      <c r="F195" s="212">
        <f t="shared" si="94"/>
        <v>0</v>
      </c>
      <c r="G195" s="213">
        <f>H195+P195+Q195</f>
        <v>221.71200000000002</v>
      </c>
      <c r="H195" s="213">
        <f>J195+M195</f>
        <v>221.71200000000002</v>
      </c>
      <c r="I195" s="213"/>
      <c r="J195" s="213">
        <f>31*12*0.4*1.49</f>
        <v>221.71200000000002</v>
      </c>
      <c r="K195" s="213"/>
      <c r="L195" s="213"/>
      <c r="M195" s="213">
        <f t="shared" si="111"/>
        <v>0</v>
      </c>
      <c r="N195" s="213"/>
      <c r="O195" s="213"/>
      <c r="P195" s="213"/>
      <c r="Q195" s="213"/>
      <c r="R195" s="213"/>
      <c r="S195" s="406"/>
    </row>
    <row r="196" spans="1:19" s="183" customFormat="1" ht="26.25" customHeight="1">
      <c r="A196" s="209" t="s">
        <v>257</v>
      </c>
      <c r="B196" s="215" t="s">
        <v>649</v>
      </c>
      <c r="C196" s="406">
        <v>1067.2</v>
      </c>
      <c r="D196" s="211"/>
      <c r="E196" s="338">
        <f>G196+R196</f>
        <v>1215.9000000000001</v>
      </c>
      <c r="F196" s="212">
        <f t="shared" si="94"/>
        <v>148.70000000000005</v>
      </c>
      <c r="G196" s="213">
        <f>H196+P196+Q196</f>
        <v>1215.9000000000001</v>
      </c>
      <c r="H196" s="213">
        <f>J196+M196</f>
        <v>1215.9000000000001</v>
      </c>
      <c r="I196" s="213"/>
      <c r="J196" s="213">
        <f t="shared" si="112"/>
        <v>0</v>
      </c>
      <c r="K196" s="213"/>
      <c r="L196" s="213"/>
      <c r="M196" s="213">
        <f t="shared" si="111"/>
        <v>1215.9000000000001</v>
      </c>
      <c r="N196" s="213"/>
      <c r="O196" s="213">
        <f>(31*12*0.35+31*2.8+31*1.4+31*2.1+700+31*1.4)+150-3</f>
        <v>1215.9000000000001</v>
      </c>
      <c r="P196" s="213">
        <v>0</v>
      </c>
      <c r="Q196" s="213"/>
      <c r="R196" s="213"/>
      <c r="S196" s="406"/>
    </row>
    <row r="197" spans="1:19" s="183" customFormat="1" ht="17.25" customHeight="1">
      <c r="A197" s="209" t="s">
        <v>403</v>
      </c>
      <c r="B197" s="210" t="s">
        <v>404</v>
      </c>
      <c r="C197" s="406">
        <f>C198+C216+C225+C234+C245+C252</f>
        <v>3316.1019999999994</v>
      </c>
      <c r="D197" s="211"/>
      <c r="E197" s="338">
        <f>E198+E216+E225+E234+E245+E252</f>
        <v>2959.1079999999997</v>
      </c>
      <c r="F197" s="212">
        <f t="shared" ref="F197:F255" si="125">E197-C197</f>
        <v>-356.99399999999969</v>
      </c>
      <c r="G197" s="213">
        <f t="shared" ref="G197:R197" si="126">G198+G216+G225+G234+G245+G252</f>
        <v>2959.1079999999997</v>
      </c>
      <c r="H197" s="213">
        <f t="shared" si="126"/>
        <v>2959.1079999999997</v>
      </c>
      <c r="I197" s="213">
        <f t="shared" si="126"/>
        <v>15</v>
      </c>
      <c r="J197" s="213">
        <f t="shared" si="126"/>
        <v>1846.1879999999996</v>
      </c>
      <c r="K197" s="213">
        <f t="shared" si="126"/>
        <v>0</v>
      </c>
      <c r="L197" s="213">
        <f t="shared" si="126"/>
        <v>0</v>
      </c>
      <c r="M197" s="213">
        <f t="shared" si="126"/>
        <v>1112.9200000000003</v>
      </c>
      <c r="N197" s="213">
        <f t="shared" si="126"/>
        <v>394.2</v>
      </c>
      <c r="O197" s="213">
        <f t="shared" si="126"/>
        <v>718.72</v>
      </c>
      <c r="P197" s="213">
        <f t="shared" si="126"/>
        <v>0</v>
      </c>
      <c r="Q197" s="213">
        <f t="shared" si="126"/>
        <v>0</v>
      </c>
      <c r="R197" s="213">
        <f t="shared" si="126"/>
        <v>0</v>
      </c>
      <c r="S197" s="406"/>
    </row>
    <row r="198" spans="1:19" s="183" customFormat="1" ht="17.25" customHeight="1">
      <c r="A198" s="209" t="s">
        <v>204</v>
      </c>
      <c r="B198" s="210" t="s">
        <v>405</v>
      </c>
      <c r="C198" s="406">
        <f>SUM(C199:C215)</f>
        <v>863.22199999999998</v>
      </c>
      <c r="D198" s="211"/>
      <c r="E198" s="338">
        <f>SUM(E199:E215)</f>
        <v>644.47400000000005</v>
      </c>
      <c r="F198" s="212">
        <f t="shared" si="125"/>
        <v>-218.74799999999993</v>
      </c>
      <c r="G198" s="213">
        <f t="shared" ref="G198:R198" si="127">SUM(G199:G215)</f>
        <v>644.47400000000005</v>
      </c>
      <c r="H198" s="213">
        <f t="shared" si="127"/>
        <v>644.47400000000005</v>
      </c>
      <c r="I198" s="213">
        <f t="shared" si="127"/>
        <v>3</v>
      </c>
      <c r="J198" s="213">
        <f t="shared" si="127"/>
        <v>401.154</v>
      </c>
      <c r="K198" s="213">
        <f t="shared" si="127"/>
        <v>0</v>
      </c>
      <c r="L198" s="213">
        <f t="shared" si="127"/>
        <v>0</v>
      </c>
      <c r="M198" s="213">
        <f t="shared" si="127"/>
        <v>243.32000000000002</v>
      </c>
      <c r="N198" s="213">
        <f t="shared" si="127"/>
        <v>79.600000000000009</v>
      </c>
      <c r="O198" s="213">
        <f t="shared" si="127"/>
        <v>163.72</v>
      </c>
      <c r="P198" s="213">
        <f t="shared" si="127"/>
        <v>0</v>
      </c>
      <c r="Q198" s="213">
        <f t="shared" si="127"/>
        <v>0</v>
      </c>
      <c r="R198" s="213">
        <f t="shared" si="127"/>
        <v>0</v>
      </c>
      <c r="S198" s="406" t="s">
        <v>406</v>
      </c>
    </row>
    <row r="199" spans="1:19" s="183" customFormat="1" ht="17.25" customHeight="1">
      <c r="A199" s="209" t="s">
        <v>257</v>
      </c>
      <c r="B199" s="210" t="s">
        <v>791</v>
      </c>
      <c r="C199" s="406">
        <v>408.55799999999999</v>
      </c>
      <c r="D199" s="211"/>
      <c r="E199" s="338">
        <f t="shared" ref="E199:E215" si="128">G199+R199</f>
        <v>333.20400000000001</v>
      </c>
      <c r="F199" s="212">
        <f t="shared" si="125"/>
        <v>-75.353999999999985</v>
      </c>
      <c r="G199" s="213">
        <f t="shared" ref="G199:G215" si="129">H199+P199+Q199</f>
        <v>333.20400000000001</v>
      </c>
      <c r="H199" s="213">
        <f t="shared" ref="H199:H215" si="130">J199+M199</f>
        <v>333.20400000000001</v>
      </c>
      <c r="I199" s="213">
        <v>3</v>
      </c>
      <c r="J199" s="398">
        <v>333.20400000000001</v>
      </c>
      <c r="K199" s="213"/>
      <c r="L199" s="213"/>
      <c r="M199" s="213">
        <f t="shared" si="111"/>
        <v>0</v>
      </c>
      <c r="N199" s="213"/>
      <c r="O199" s="213"/>
      <c r="P199" s="213"/>
      <c r="Q199" s="213"/>
      <c r="R199" s="213"/>
      <c r="S199" s="406"/>
    </row>
    <row r="200" spans="1:19" s="183" customFormat="1" ht="17.25" customHeight="1">
      <c r="A200" s="209" t="s">
        <v>257</v>
      </c>
      <c r="B200" s="210" t="s">
        <v>792</v>
      </c>
      <c r="C200" s="406">
        <v>93.6</v>
      </c>
      <c r="D200" s="211"/>
      <c r="E200" s="338">
        <f t="shared" si="128"/>
        <v>70.2</v>
      </c>
      <c r="F200" s="212">
        <f t="shared" si="125"/>
        <v>-23.399999999999991</v>
      </c>
      <c r="G200" s="213">
        <f t="shared" si="129"/>
        <v>70.2</v>
      </c>
      <c r="H200" s="213">
        <f t="shared" si="130"/>
        <v>70.2</v>
      </c>
      <c r="I200" s="213"/>
      <c r="J200" s="213">
        <f t="shared" si="112"/>
        <v>0</v>
      </c>
      <c r="K200" s="213"/>
      <c r="L200" s="213"/>
      <c r="M200" s="213">
        <f t="shared" si="111"/>
        <v>70.2</v>
      </c>
      <c r="N200" s="213">
        <f>3*18*1.3</f>
        <v>70.2</v>
      </c>
      <c r="O200" s="213"/>
      <c r="P200" s="213"/>
      <c r="Q200" s="213">
        <v>0</v>
      </c>
      <c r="R200" s="213">
        <v>0</v>
      </c>
      <c r="S200" s="406"/>
    </row>
    <row r="201" spans="1:19" s="183" customFormat="1" ht="17.25" customHeight="1">
      <c r="A201" s="209" t="s">
        <v>257</v>
      </c>
      <c r="B201" s="210" t="s">
        <v>407</v>
      </c>
      <c r="C201" s="406">
        <v>10.728</v>
      </c>
      <c r="D201" s="211"/>
      <c r="E201" s="338">
        <f t="shared" si="128"/>
        <v>10.73</v>
      </c>
      <c r="F201" s="212">
        <f t="shared" si="125"/>
        <v>2.0000000000006679E-3</v>
      </c>
      <c r="G201" s="213">
        <f t="shared" si="129"/>
        <v>10.73</v>
      </c>
      <c r="H201" s="213">
        <f t="shared" si="130"/>
        <v>10.73</v>
      </c>
      <c r="I201" s="213"/>
      <c r="J201" s="213">
        <v>10.73</v>
      </c>
      <c r="K201" s="213"/>
      <c r="L201" s="213"/>
      <c r="M201" s="213">
        <f t="shared" si="111"/>
        <v>0</v>
      </c>
      <c r="N201" s="213"/>
      <c r="O201" s="213"/>
      <c r="P201" s="213"/>
      <c r="Q201" s="213"/>
      <c r="R201" s="213"/>
      <c r="S201" s="406"/>
    </row>
    <row r="202" spans="1:19" s="183" customFormat="1" ht="27.75" customHeight="1">
      <c r="A202" s="209" t="s">
        <v>257</v>
      </c>
      <c r="B202" s="215" t="s">
        <v>292</v>
      </c>
      <c r="C202" s="406">
        <v>9.4</v>
      </c>
      <c r="D202" s="211"/>
      <c r="E202" s="338">
        <f t="shared" si="128"/>
        <v>9.4</v>
      </c>
      <c r="F202" s="212">
        <f t="shared" si="125"/>
        <v>0</v>
      </c>
      <c r="G202" s="213">
        <f t="shared" si="129"/>
        <v>9.4</v>
      </c>
      <c r="H202" s="213">
        <f t="shared" si="130"/>
        <v>9.4</v>
      </c>
      <c r="I202" s="213"/>
      <c r="J202" s="213">
        <f t="shared" si="112"/>
        <v>0</v>
      </c>
      <c r="K202" s="213"/>
      <c r="L202" s="213"/>
      <c r="M202" s="213">
        <f t="shared" si="111"/>
        <v>9.4</v>
      </c>
      <c r="N202" s="213">
        <v>9.4</v>
      </c>
      <c r="O202" s="213"/>
      <c r="P202" s="213"/>
      <c r="Q202" s="213"/>
      <c r="R202" s="213"/>
      <c r="S202" s="406"/>
    </row>
    <row r="203" spans="1:19" s="183" customFormat="1" ht="47.25" customHeight="1">
      <c r="A203" s="209" t="s">
        <v>257</v>
      </c>
      <c r="B203" s="215" t="s">
        <v>690</v>
      </c>
      <c r="C203" s="406">
        <v>107.21599999999999</v>
      </c>
      <c r="D203" s="211"/>
      <c r="E203" s="338">
        <f t="shared" si="128"/>
        <v>77.22</v>
      </c>
      <c r="F203" s="212">
        <f t="shared" si="125"/>
        <v>-29.995999999999995</v>
      </c>
      <c r="G203" s="213">
        <f t="shared" si="129"/>
        <v>77.22</v>
      </c>
      <c r="H203" s="213">
        <f t="shared" si="130"/>
        <v>77.22</v>
      </c>
      <c r="I203" s="213"/>
      <c r="J203" s="213">
        <v>57.22</v>
      </c>
      <c r="K203" s="213"/>
      <c r="L203" s="213"/>
      <c r="M203" s="213">
        <f t="shared" si="111"/>
        <v>20</v>
      </c>
      <c r="N203" s="213"/>
      <c r="O203" s="213">
        <v>20</v>
      </c>
      <c r="P203" s="213"/>
      <c r="Q203" s="213"/>
      <c r="R203" s="213">
        <v>0</v>
      </c>
      <c r="S203" s="406"/>
    </row>
    <row r="204" spans="1:19" s="183" customFormat="1" ht="29.25" customHeight="1">
      <c r="A204" s="209" t="s">
        <v>257</v>
      </c>
      <c r="B204" s="215" t="s">
        <v>408</v>
      </c>
      <c r="C204" s="406">
        <v>50</v>
      </c>
      <c r="D204" s="211"/>
      <c r="E204" s="338">
        <f t="shared" si="128"/>
        <v>50</v>
      </c>
      <c r="F204" s="212">
        <f t="shared" si="125"/>
        <v>0</v>
      </c>
      <c r="G204" s="213">
        <f t="shared" si="129"/>
        <v>50</v>
      </c>
      <c r="H204" s="213">
        <f t="shared" si="130"/>
        <v>50</v>
      </c>
      <c r="I204" s="213"/>
      <c r="J204" s="213">
        <f t="shared" si="112"/>
        <v>0</v>
      </c>
      <c r="K204" s="213"/>
      <c r="L204" s="213"/>
      <c r="M204" s="213">
        <f t="shared" si="111"/>
        <v>50</v>
      </c>
      <c r="N204" s="213"/>
      <c r="O204" s="213">
        <v>50</v>
      </c>
      <c r="P204" s="213"/>
      <c r="Q204" s="213"/>
      <c r="R204" s="213"/>
      <c r="S204" s="406"/>
    </row>
    <row r="205" spans="1:19" s="183" customFormat="1" ht="28.5" customHeight="1">
      <c r="A205" s="209" t="s">
        <v>257</v>
      </c>
      <c r="B205" s="215" t="s">
        <v>409</v>
      </c>
      <c r="C205" s="406">
        <v>18.72</v>
      </c>
      <c r="D205" s="211"/>
      <c r="E205" s="338">
        <f t="shared" si="128"/>
        <v>18.72</v>
      </c>
      <c r="F205" s="212">
        <f t="shared" si="125"/>
        <v>0</v>
      </c>
      <c r="G205" s="213">
        <f t="shared" si="129"/>
        <v>18.72</v>
      </c>
      <c r="H205" s="213">
        <f t="shared" si="130"/>
        <v>18.72</v>
      </c>
      <c r="I205" s="213"/>
      <c r="J205" s="213">
        <f t="shared" si="112"/>
        <v>0</v>
      </c>
      <c r="K205" s="213"/>
      <c r="L205" s="213"/>
      <c r="M205" s="213">
        <f t="shared" si="111"/>
        <v>18.72</v>
      </c>
      <c r="N205" s="213"/>
      <c r="O205" s="213">
        <v>18.72</v>
      </c>
      <c r="P205" s="213"/>
      <c r="Q205" s="213"/>
      <c r="R205" s="213"/>
      <c r="S205" s="406"/>
    </row>
    <row r="206" spans="1:19" s="183" customFormat="1" ht="43.5" customHeight="1">
      <c r="A206" s="209" t="s">
        <v>257</v>
      </c>
      <c r="B206" s="215" t="s">
        <v>410</v>
      </c>
      <c r="C206" s="406">
        <v>20</v>
      </c>
      <c r="D206" s="211"/>
      <c r="E206" s="338">
        <f t="shared" si="128"/>
        <v>20</v>
      </c>
      <c r="F206" s="212">
        <f t="shared" si="125"/>
        <v>0</v>
      </c>
      <c r="G206" s="213">
        <f t="shared" si="129"/>
        <v>20</v>
      </c>
      <c r="H206" s="213">
        <f t="shared" si="130"/>
        <v>20</v>
      </c>
      <c r="I206" s="213"/>
      <c r="J206" s="213">
        <f t="shared" si="112"/>
        <v>0</v>
      </c>
      <c r="K206" s="213"/>
      <c r="L206" s="213"/>
      <c r="M206" s="213">
        <f t="shared" si="111"/>
        <v>20</v>
      </c>
      <c r="N206" s="213"/>
      <c r="O206" s="213">
        <v>20</v>
      </c>
      <c r="P206" s="213"/>
      <c r="Q206" s="213"/>
      <c r="R206" s="213"/>
      <c r="S206" s="406"/>
    </row>
    <row r="207" spans="1:19" s="183" customFormat="1" ht="45" customHeight="1">
      <c r="A207" s="209" t="s">
        <v>257</v>
      </c>
      <c r="B207" s="215" t="s">
        <v>411</v>
      </c>
      <c r="C207" s="406">
        <v>15</v>
      </c>
      <c r="D207" s="211"/>
      <c r="E207" s="338">
        <f t="shared" si="128"/>
        <v>15</v>
      </c>
      <c r="F207" s="212">
        <f t="shared" si="125"/>
        <v>0</v>
      </c>
      <c r="G207" s="213">
        <f t="shared" si="129"/>
        <v>15</v>
      </c>
      <c r="H207" s="213">
        <f t="shared" si="130"/>
        <v>15</v>
      </c>
      <c r="I207" s="213"/>
      <c r="J207" s="213">
        <f t="shared" si="112"/>
        <v>0</v>
      </c>
      <c r="K207" s="213"/>
      <c r="L207" s="213"/>
      <c r="M207" s="213">
        <f t="shared" si="111"/>
        <v>15</v>
      </c>
      <c r="N207" s="213"/>
      <c r="O207" s="213">
        <v>15</v>
      </c>
      <c r="P207" s="213"/>
      <c r="Q207" s="213"/>
      <c r="R207" s="213"/>
      <c r="S207" s="406"/>
    </row>
    <row r="208" spans="1:19" s="183" customFormat="1" ht="17.25" customHeight="1">
      <c r="A208" s="209" t="s">
        <v>257</v>
      </c>
      <c r="B208" s="215" t="s">
        <v>412</v>
      </c>
      <c r="C208" s="406">
        <v>20</v>
      </c>
      <c r="D208" s="211"/>
      <c r="E208" s="338">
        <f t="shared" si="128"/>
        <v>20</v>
      </c>
      <c r="F208" s="212">
        <f t="shared" si="125"/>
        <v>0</v>
      </c>
      <c r="G208" s="213">
        <f t="shared" si="129"/>
        <v>20</v>
      </c>
      <c r="H208" s="213">
        <f t="shared" si="130"/>
        <v>20</v>
      </c>
      <c r="I208" s="213"/>
      <c r="J208" s="213">
        <f t="shared" si="112"/>
        <v>0</v>
      </c>
      <c r="K208" s="213"/>
      <c r="L208" s="213"/>
      <c r="M208" s="213">
        <f t="shared" si="111"/>
        <v>20</v>
      </c>
      <c r="N208" s="213">
        <v>0</v>
      </c>
      <c r="O208" s="213">
        <v>20</v>
      </c>
      <c r="P208" s="213"/>
      <c r="Q208" s="213"/>
      <c r="R208" s="213"/>
      <c r="S208" s="406"/>
    </row>
    <row r="209" spans="1:19" s="183" customFormat="1" ht="17.25" customHeight="1">
      <c r="A209" s="209" t="s">
        <v>257</v>
      </c>
      <c r="B209" s="210" t="s">
        <v>413</v>
      </c>
      <c r="C209" s="406">
        <v>10</v>
      </c>
      <c r="D209" s="211"/>
      <c r="E209" s="338">
        <f t="shared" si="128"/>
        <v>0</v>
      </c>
      <c r="F209" s="212">
        <f t="shared" si="125"/>
        <v>-10</v>
      </c>
      <c r="G209" s="213">
        <f t="shared" si="129"/>
        <v>0</v>
      </c>
      <c r="H209" s="213">
        <f t="shared" si="130"/>
        <v>0</v>
      </c>
      <c r="I209" s="213"/>
      <c r="J209" s="213">
        <f t="shared" si="112"/>
        <v>0</v>
      </c>
      <c r="K209" s="213"/>
      <c r="L209" s="213"/>
      <c r="M209" s="213">
        <f t="shared" si="111"/>
        <v>0</v>
      </c>
      <c r="N209" s="213"/>
      <c r="O209" s="213">
        <v>0</v>
      </c>
      <c r="P209" s="213"/>
      <c r="Q209" s="213"/>
      <c r="R209" s="213"/>
      <c r="S209" s="406"/>
    </row>
    <row r="210" spans="1:19" s="183" customFormat="1" ht="17.25" customHeight="1">
      <c r="A210" s="209" t="s">
        <v>257</v>
      </c>
      <c r="B210" s="210" t="s">
        <v>414</v>
      </c>
      <c r="C210" s="406">
        <v>10</v>
      </c>
      <c r="D210" s="211"/>
      <c r="E210" s="338">
        <f t="shared" si="128"/>
        <v>10</v>
      </c>
      <c r="F210" s="212">
        <f t="shared" si="125"/>
        <v>0</v>
      </c>
      <c r="G210" s="213">
        <f t="shared" si="129"/>
        <v>10</v>
      </c>
      <c r="H210" s="213">
        <f t="shared" si="130"/>
        <v>10</v>
      </c>
      <c r="I210" s="213"/>
      <c r="J210" s="213">
        <f t="shared" si="112"/>
        <v>0</v>
      </c>
      <c r="K210" s="213"/>
      <c r="L210" s="213"/>
      <c r="M210" s="213">
        <f t="shared" si="111"/>
        <v>10</v>
      </c>
      <c r="N210" s="213"/>
      <c r="O210" s="213">
        <v>10</v>
      </c>
      <c r="P210" s="213"/>
      <c r="Q210" s="213"/>
      <c r="R210" s="213"/>
      <c r="S210" s="406"/>
    </row>
    <row r="211" spans="1:19" s="183" customFormat="1" ht="17.25" customHeight="1">
      <c r="A211" s="209" t="s">
        <v>257</v>
      </c>
      <c r="B211" s="210" t="s">
        <v>415</v>
      </c>
      <c r="C211" s="406">
        <v>10</v>
      </c>
      <c r="D211" s="211"/>
      <c r="E211" s="338">
        <f t="shared" si="128"/>
        <v>10</v>
      </c>
      <c r="F211" s="212">
        <f t="shared" si="125"/>
        <v>0</v>
      </c>
      <c r="G211" s="213">
        <f t="shared" si="129"/>
        <v>10</v>
      </c>
      <c r="H211" s="213">
        <f t="shared" si="130"/>
        <v>10</v>
      </c>
      <c r="I211" s="213"/>
      <c r="J211" s="213">
        <f t="shared" si="112"/>
        <v>0</v>
      </c>
      <c r="K211" s="213"/>
      <c r="L211" s="213"/>
      <c r="M211" s="213">
        <f>N211+O211</f>
        <v>10</v>
      </c>
      <c r="N211" s="213"/>
      <c r="O211" s="213">
        <v>10</v>
      </c>
      <c r="P211" s="213"/>
      <c r="Q211" s="213"/>
      <c r="R211" s="213"/>
      <c r="S211" s="406"/>
    </row>
    <row r="212" spans="1:19" s="183" customFormat="1" ht="20.25" customHeight="1">
      <c r="A212" s="209" t="s">
        <v>257</v>
      </c>
      <c r="B212" s="215" t="s">
        <v>585</v>
      </c>
      <c r="C212" s="406">
        <v>30</v>
      </c>
      <c r="D212" s="211"/>
      <c r="E212" s="338">
        <f t="shared" si="128"/>
        <v>0</v>
      </c>
      <c r="F212" s="212">
        <f t="shared" si="125"/>
        <v>-30</v>
      </c>
      <c r="G212" s="213">
        <f t="shared" si="129"/>
        <v>0</v>
      </c>
      <c r="H212" s="213">
        <f t="shared" si="130"/>
        <v>0</v>
      </c>
      <c r="I212" s="213"/>
      <c r="J212" s="213">
        <f>K212+L212</f>
        <v>0</v>
      </c>
      <c r="K212" s="213"/>
      <c r="L212" s="213"/>
      <c r="M212" s="213">
        <f>N212+O212</f>
        <v>0</v>
      </c>
      <c r="N212" s="213"/>
      <c r="O212" s="213"/>
      <c r="P212" s="213"/>
      <c r="Q212" s="213"/>
      <c r="R212" s="213"/>
      <c r="S212" s="406"/>
    </row>
    <row r="213" spans="1:19" s="183" customFormat="1" ht="31.5" customHeight="1">
      <c r="A213" s="209" t="s">
        <v>257</v>
      </c>
      <c r="B213" s="215" t="s">
        <v>586</v>
      </c>
      <c r="C213" s="406"/>
      <c r="D213" s="211"/>
      <c r="E213" s="338">
        <f>G213+R213</f>
        <v>0</v>
      </c>
      <c r="F213" s="212">
        <f t="shared" si="125"/>
        <v>0</v>
      </c>
      <c r="G213" s="213">
        <f>H213+P213+Q213</f>
        <v>0</v>
      </c>
      <c r="H213" s="213">
        <f>J213+M213</f>
        <v>0</v>
      </c>
      <c r="I213" s="213"/>
      <c r="J213" s="213">
        <f>K213+L213</f>
        <v>0</v>
      </c>
      <c r="K213" s="213"/>
      <c r="L213" s="213"/>
      <c r="M213" s="213">
        <f>N213+O213</f>
        <v>0</v>
      </c>
      <c r="N213" s="213"/>
      <c r="O213" s="213"/>
      <c r="P213" s="213"/>
      <c r="Q213" s="213"/>
      <c r="R213" s="213"/>
      <c r="S213" s="406"/>
    </row>
    <row r="214" spans="1:19" s="183" customFormat="1" ht="17.25" customHeight="1">
      <c r="A214" s="209" t="s">
        <v>257</v>
      </c>
      <c r="B214" s="210" t="s">
        <v>769</v>
      </c>
      <c r="C214" s="406">
        <v>50</v>
      </c>
      <c r="D214" s="211"/>
      <c r="E214" s="338">
        <f t="shared" ref="E214" si="131">G214+R214</f>
        <v>0</v>
      </c>
      <c r="F214" s="212">
        <f t="shared" si="125"/>
        <v>-50</v>
      </c>
      <c r="G214" s="213">
        <f t="shared" ref="G214" si="132">H214+P214+Q214</f>
        <v>0</v>
      </c>
      <c r="H214" s="213">
        <f t="shared" ref="H214" si="133">J214+M214</f>
        <v>0</v>
      </c>
      <c r="I214" s="213"/>
      <c r="J214" s="213">
        <f t="shared" ref="J214" si="134">K214+L214</f>
        <v>0</v>
      </c>
      <c r="K214" s="213"/>
      <c r="L214" s="213"/>
      <c r="M214" s="213">
        <f t="shared" ref="M214" si="135">N214+O214</f>
        <v>0</v>
      </c>
      <c r="N214" s="213"/>
      <c r="O214" s="213"/>
      <c r="P214" s="213"/>
      <c r="Q214" s="213"/>
      <c r="R214" s="213"/>
      <c r="S214" s="406"/>
    </row>
    <row r="215" spans="1:19" s="183" customFormat="1" ht="17.25" customHeight="1">
      <c r="A215" s="209" t="s">
        <v>257</v>
      </c>
      <c r="B215" s="210" t="s">
        <v>587</v>
      </c>
      <c r="C215" s="406"/>
      <c r="D215" s="211"/>
      <c r="E215" s="338">
        <f t="shared" si="128"/>
        <v>0</v>
      </c>
      <c r="F215" s="212">
        <f t="shared" si="125"/>
        <v>0</v>
      </c>
      <c r="G215" s="213">
        <f t="shared" si="129"/>
        <v>0</v>
      </c>
      <c r="H215" s="213">
        <f t="shared" si="130"/>
        <v>0</v>
      </c>
      <c r="I215" s="213"/>
      <c r="J215" s="213">
        <f t="shared" si="112"/>
        <v>0</v>
      </c>
      <c r="K215" s="213"/>
      <c r="L215" s="213"/>
      <c r="M215" s="213">
        <f t="shared" si="111"/>
        <v>0</v>
      </c>
      <c r="N215" s="213"/>
      <c r="O215" s="213"/>
      <c r="P215" s="213"/>
      <c r="Q215" s="213"/>
      <c r="R215" s="213"/>
      <c r="S215" s="406"/>
    </row>
    <row r="216" spans="1:19" s="183" customFormat="1" ht="17.25" customHeight="1">
      <c r="A216" s="209" t="s">
        <v>206</v>
      </c>
      <c r="B216" s="210" t="s">
        <v>416</v>
      </c>
      <c r="C216" s="406">
        <f>SUM(C217:C224)</f>
        <v>721.47900000000004</v>
      </c>
      <c r="D216" s="211"/>
      <c r="E216" s="338">
        <f>SUM(E217:E224)</f>
        <v>592.98799999999994</v>
      </c>
      <c r="F216" s="212">
        <f t="shared" si="125"/>
        <v>-128.4910000000001</v>
      </c>
      <c r="G216" s="406">
        <f t="shared" ref="G216:R216" si="136">SUM(G217:G224)</f>
        <v>592.98799999999994</v>
      </c>
      <c r="H216" s="406">
        <f t="shared" si="136"/>
        <v>592.98799999999994</v>
      </c>
      <c r="I216" s="406">
        <f t="shared" si="136"/>
        <v>3</v>
      </c>
      <c r="J216" s="406">
        <f t="shared" si="136"/>
        <v>373.38799999999998</v>
      </c>
      <c r="K216" s="406">
        <f t="shared" si="136"/>
        <v>0</v>
      </c>
      <c r="L216" s="406">
        <f t="shared" si="136"/>
        <v>0</v>
      </c>
      <c r="M216" s="406">
        <f t="shared" si="136"/>
        <v>219.60000000000002</v>
      </c>
      <c r="N216" s="406">
        <f t="shared" si="136"/>
        <v>79.600000000000009</v>
      </c>
      <c r="O216" s="406">
        <f t="shared" si="136"/>
        <v>140</v>
      </c>
      <c r="P216" s="406">
        <f t="shared" si="136"/>
        <v>0</v>
      </c>
      <c r="Q216" s="406">
        <f t="shared" si="136"/>
        <v>0</v>
      </c>
      <c r="R216" s="406">
        <f t="shared" si="136"/>
        <v>0</v>
      </c>
      <c r="S216" s="406" t="s">
        <v>416</v>
      </c>
    </row>
    <row r="217" spans="1:19" s="183" customFormat="1" ht="17.25" customHeight="1">
      <c r="A217" s="209" t="s">
        <v>257</v>
      </c>
      <c r="B217" s="210" t="s">
        <v>417</v>
      </c>
      <c r="C217" s="406">
        <v>351.87900000000002</v>
      </c>
      <c r="D217" s="211"/>
      <c r="E217" s="338">
        <f t="shared" ref="E217:E224" si="137">G217+R217</f>
        <v>373.38799999999998</v>
      </c>
      <c r="F217" s="212">
        <f t="shared" si="125"/>
        <v>21.508999999999958</v>
      </c>
      <c r="G217" s="213">
        <f t="shared" ref="G217:G224" si="138">H217+P217+Q217</f>
        <v>373.38799999999998</v>
      </c>
      <c r="H217" s="213">
        <f t="shared" ref="H217:H224" si="139">J217+M217</f>
        <v>373.38799999999998</v>
      </c>
      <c r="I217" s="213">
        <v>3</v>
      </c>
      <c r="J217" s="213">
        <v>373.38799999999998</v>
      </c>
      <c r="K217" s="213"/>
      <c r="L217" s="213"/>
      <c r="M217" s="213">
        <f t="shared" si="111"/>
        <v>0</v>
      </c>
      <c r="N217" s="213"/>
      <c r="O217" s="213">
        <v>0</v>
      </c>
      <c r="P217" s="213"/>
      <c r="Q217" s="213"/>
      <c r="R217" s="213"/>
      <c r="S217" s="406"/>
    </row>
    <row r="218" spans="1:19" s="183" customFormat="1" ht="17.25" customHeight="1">
      <c r="A218" s="209" t="s">
        <v>257</v>
      </c>
      <c r="B218" s="210" t="s">
        <v>655</v>
      </c>
      <c r="C218" s="406">
        <v>70.2</v>
      </c>
      <c r="D218" s="211"/>
      <c r="E218" s="338">
        <f t="shared" si="137"/>
        <v>70.2</v>
      </c>
      <c r="F218" s="212">
        <f t="shared" si="125"/>
        <v>0</v>
      </c>
      <c r="G218" s="213">
        <f t="shared" si="138"/>
        <v>70.2</v>
      </c>
      <c r="H218" s="213">
        <f t="shared" si="139"/>
        <v>70.2</v>
      </c>
      <c r="I218" s="213"/>
      <c r="J218" s="213">
        <f t="shared" si="112"/>
        <v>0</v>
      </c>
      <c r="K218" s="213"/>
      <c r="L218" s="213"/>
      <c r="M218" s="213">
        <f t="shared" si="111"/>
        <v>70.2</v>
      </c>
      <c r="N218" s="213">
        <f>3*18*1.3</f>
        <v>70.2</v>
      </c>
      <c r="O218" s="213">
        <v>0</v>
      </c>
      <c r="P218" s="213">
        <v>0</v>
      </c>
      <c r="Q218" s="213">
        <v>0</v>
      </c>
      <c r="R218" s="213">
        <v>0</v>
      </c>
      <c r="S218" s="406"/>
    </row>
    <row r="219" spans="1:19" s="183" customFormat="1" ht="28.5" customHeight="1">
      <c r="A219" s="209" t="s">
        <v>257</v>
      </c>
      <c r="B219" s="215" t="s">
        <v>292</v>
      </c>
      <c r="C219" s="406">
        <v>9.4</v>
      </c>
      <c r="D219" s="211"/>
      <c r="E219" s="338">
        <f t="shared" si="137"/>
        <v>9.4</v>
      </c>
      <c r="F219" s="212">
        <f t="shared" si="125"/>
        <v>0</v>
      </c>
      <c r="G219" s="213">
        <f t="shared" si="138"/>
        <v>9.4</v>
      </c>
      <c r="H219" s="213">
        <f t="shared" si="139"/>
        <v>9.4</v>
      </c>
      <c r="I219" s="213"/>
      <c r="J219" s="213">
        <f t="shared" si="112"/>
        <v>0</v>
      </c>
      <c r="K219" s="213"/>
      <c r="L219" s="213"/>
      <c r="M219" s="213">
        <f t="shared" si="111"/>
        <v>9.4</v>
      </c>
      <c r="N219" s="213">
        <v>9.4</v>
      </c>
      <c r="O219" s="213">
        <v>0</v>
      </c>
      <c r="P219" s="213"/>
      <c r="Q219" s="213"/>
      <c r="R219" s="213"/>
      <c r="S219" s="406"/>
    </row>
    <row r="220" spans="1:19" s="183" customFormat="1" ht="21" customHeight="1">
      <c r="A220" s="209" t="s">
        <v>257</v>
      </c>
      <c r="B220" s="215" t="s">
        <v>319</v>
      </c>
      <c r="C220" s="406"/>
      <c r="D220" s="211"/>
      <c r="E220" s="338">
        <f t="shared" si="137"/>
        <v>0</v>
      </c>
      <c r="F220" s="212">
        <f t="shared" si="125"/>
        <v>0</v>
      </c>
      <c r="G220" s="213">
        <f t="shared" si="138"/>
        <v>0</v>
      </c>
      <c r="H220" s="213">
        <f t="shared" si="139"/>
        <v>0</v>
      </c>
      <c r="I220" s="213"/>
      <c r="J220" s="213">
        <f t="shared" si="112"/>
        <v>0</v>
      </c>
      <c r="K220" s="213"/>
      <c r="L220" s="213"/>
      <c r="M220" s="213">
        <f t="shared" ref="M220:M224" si="140">N220+O220</f>
        <v>0</v>
      </c>
      <c r="N220" s="213"/>
      <c r="O220" s="213">
        <v>0</v>
      </c>
      <c r="P220" s="213"/>
      <c r="Q220" s="213"/>
      <c r="R220" s="213"/>
      <c r="S220" s="406"/>
    </row>
    <row r="221" spans="1:19" s="183" customFormat="1" ht="17.25" customHeight="1">
      <c r="A221" s="209" t="s">
        <v>257</v>
      </c>
      <c r="B221" s="210" t="s">
        <v>418</v>
      </c>
      <c r="C221" s="406">
        <v>10</v>
      </c>
      <c r="D221" s="211"/>
      <c r="E221" s="338">
        <f t="shared" si="137"/>
        <v>10</v>
      </c>
      <c r="F221" s="212">
        <f t="shared" si="125"/>
        <v>0</v>
      </c>
      <c r="G221" s="213">
        <f t="shared" si="138"/>
        <v>10</v>
      </c>
      <c r="H221" s="213">
        <f t="shared" si="139"/>
        <v>10</v>
      </c>
      <c r="I221" s="213"/>
      <c r="J221" s="213">
        <f t="shared" si="112"/>
        <v>0</v>
      </c>
      <c r="K221" s="213"/>
      <c r="L221" s="213"/>
      <c r="M221" s="213">
        <f t="shared" si="140"/>
        <v>10</v>
      </c>
      <c r="N221" s="213"/>
      <c r="O221" s="213">
        <v>10</v>
      </c>
      <c r="P221" s="213"/>
      <c r="Q221" s="213"/>
      <c r="R221" s="213"/>
      <c r="S221" s="406"/>
    </row>
    <row r="222" spans="1:19" s="183" customFormat="1" ht="26.25" customHeight="1">
      <c r="A222" s="209" t="s">
        <v>257</v>
      </c>
      <c r="B222" s="215" t="s">
        <v>811</v>
      </c>
      <c r="C222" s="406">
        <v>80</v>
      </c>
      <c r="D222" s="211"/>
      <c r="E222" s="338">
        <f t="shared" si="137"/>
        <v>80</v>
      </c>
      <c r="F222" s="212">
        <f t="shared" si="125"/>
        <v>0</v>
      </c>
      <c r="G222" s="213">
        <f t="shared" si="138"/>
        <v>80</v>
      </c>
      <c r="H222" s="213">
        <f t="shared" si="139"/>
        <v>80</v>
      </c>
      <c r="I222" s="213"/>
      <c r="J222" s="213">
        <f t="shared" si="112"/>
        <v>0</v>
      </c>
      <c r="K222" s="213"/>
      <c r="L222" s="213"/>
      <c r="M222" s="213">
        <f t="shared" si="140"/>
        <v>80</v>
      </c>
      <c r="N222" s="213"/>
      <c r="O222" s="213">
        <v>80</v>
      </c>
      <c r="P222" s="213"/>
      <c r="Q222" s="213"/>
      <c r="R222" s="213"/>
      <c r="S222" s="406"/>
    </row>
    <row r="223" spans="1:19" s="183" customFormat="1" ht="54.75" customHeight="1">
      <c r="A223" s="209" t="s">
        <v>257</v>
      </c>
      <c r="B223" s="215" t="s">
        <v>419</v>
      </c>
      <c r="C223" s="406">
        <v>50</v>
      </c>
      <c r="D223" s="211"/>
      <c r="E223" s="338">
        <f t="shared" si="137"/>
        <v>50</v>
      </c>
      <c r="F223" s="212">
        <f t="shared" si="125"/>
        <v>0</v>
      </c>
      <c r="G223" s="213">
        <f t="shared" si="138"/>
        <v>50</v>
      </c>
      <c r="H223" s="213">
        <f t="shared" si="139"/>
        <v>50</v>
      </c>
      <c r="I223" s="213"/>
      <c r="J223" s="213">
        <f>K223+L223</f>
        <v>0</v>
      </c>
      <c r="K223" s="213"/>
      <c r="L223" s="213"/>
      <c r="M223" s="213">
        <f t="shared" si="140"/>
        <v>50</v>
      </c>
      <c r="N223" s="213"/>
      <c r="O223" s="213">
        <v>50</v>
      </c>
      <c r="P223" s="213"/>
      <c r="Q223" s="213"/>
      <c r="R223" s="213"/>
      <c r="S223" s="406"/>
    </row>
    <row r="224" spans="1:19" s="183" customFormat="1" ht="22.5" customHeight="1">
      <c r="A224" s="209" t="s">
        <v>257</v>
      </c>
      <c r="B224" s="215" t="s">
        <v>770</v>
      </c>
      <c r="C224" s="406">
        <v>150</v>
      </c>
      <c r="D224" s="211"/>
      <c r="E224" s="338">
        <f t="shared" si="137"/>
        <v>0</v>
      </c>
      <c r="F224" s="212">
        <f t="shared" si="125"/>
        <v>-150</v>
      </c>
      <c r="G224" s="213">
        <f t="shared" si="138"/>
        <v>0</v>
      </c>
      <c r="H224" s="213">
        <f t="shared" si="139"/>
        <v>0</v>
      </c>
      <c r="I224" s="213"/>
      <c r="J224" s="213"/>
      <c r="K224" s="213"/>
      <c r="L224" s="213"/>
      <c r="M224" s="213">
        <f t="shared" si="140"/>
        <v>0</v>
      </c>
      <c r="N224" s="213"/>
      <c r="O224" s="213"/>
      <c r="P224" s="213"/>
      <c r="Q224" s="213"/>
      <c r="R224" s="213"/>
      <c r="S224" s="406"/>
    </row>
    <row r="225" spans="1:19" s="183" customFormat="1" ht="17.25" customHeight="1">
      <c r="A225" s="209" t="s">
        <v>208</v>
      </c>
      <c r="B225" s="210" t="s">
        <v>420</v>
      </c>
      <c r="C225" s="406">
        <f>SUM(C226:C233)</f>
        <v>716.27099999999996</v>
      </c>
      <c r="D225" s="211"/>
      <c r="E225" s="338">
        <f>SUM(E226:E233)</f>
        <v>699.55899999999997</v>
      </c>
      <c r="F225" s="212">
        <f t="shared" si="125"/>
        <v>-16.711999999999989</v>
      </c>
      <c r="G225" s="213">
        <f t="shared" ref="G225:R225" si="141">SUM(G226:G233)</f>
        <v>699.55899999999997</v>
      </c>
      <c r="H225" s="213">
        <f t="shared" si="141"/>
        <v>699.55899999999997</v>
      </c>
      <c r="I225" s="213">
        <f t="shared" si="141"/>
        <v>3</v>
      </c>
      <c r="J225" s="213">
        <f t="shared" si="141"/>
        <v>369.95899999999995</v>
      </c>
      <c r="K225" s="213">
        <f t="shared" si="141"/>
        <v>0</v>
      </c>
      <c r="L225" s="213">
        <f t="shared" si="141"/>
        <v>0</v>
      </c>
      <c r="M225" s="213">
        <f t="shared" si="141"/>
        <v>329.6</v>
      </c>
      <c r="N225" s="213">
        <f t="shared" si="141"/>
        <v>79.600000000000009</v>
      </c>
      <c r="O225" s="213">
        <f t="shared" si="141"/>
        <v>250</v>
      </c>
      <c r="P225" s="213">
        <f t="shared" si="141"/>
        <v>0</v>
      </c>
      <c r="Q225" s="213">
        <f t="shared" si="141"/>
        <v>0</v>
      </c>
      <c r="R225" s="213">
        <f t="shared" si="141"/>
        <v>0</v>
      </c>
      <c r="S225" s="406" t="s">
        <v>420</v>
      </c>
    </row>
    <row r="226" spans="1:19" s="183" customFormat="1" ht="17.25" customHeight="1">
      <c r="A226" s="209" t="s">
        <v>257</v>
      </c>
      <c r="B226" s="210" t="s">
        <v>462</v>
      </c>
      <c r="C226" s="406">
        <v>406.05500000000001</v>
      </c>
      <c r="D226" s="211"/>
      <c r="E226" s="338">
        <f t="shared" ref="E226:E233" si="142">G226+R226</f>
        <v>312.73899999999998</v>
      </c>
      <c r="F226" s="212">
        <f t="shared" si="125"/>
        <v>-93.316000000000031</v>
      </c>
      <c r="G226" s="213">
        <f t="shared" ref="G226:G233" si="143">H226+P226+Q226</f>
        <v>312.73899999999998</v>
      </c>
      <c r="H226" s="213">
        <f t="shared" ref="H226:H233" si="144">J226+M226</f>
        <v>312.73899999999998</v>
      </c>
      <c r="I226" s="213">
        <v>3</v>
      </c>
      <c r="J226" s="398">
        <v>312.73899999999998</v>
      </c>
      <c r="K226" s="213"/>
      <c r="L226" s="213"/>
      <c r="M226" s="213">
        <f t="shared" si="111"/>
        <v>0</v>
      </c>
      <c r="N226" s="213"/>
      <c r="O226" s="213">
        <v>0</v>
      </c>
      <c r="P226" s="213"/>
      <c r="Q226" s="213"/>
      <c r="R226" s="213"/>
      <c r="S226" s="406"/>
    </row>
    <row r="227" spans="1:19" s="183" customFormat="1" ht="17.25" customHeight="1">
      <c r="A227" s="209" t="s">
        <v>257</v>
      </c>
      <c r="B227" s="210" t="s">
        <v>655</v>
      </c>
      <c r="C227" s="406">
        <v>93.6</v>
      </c>
      <c r="D227" s="211"/>
      <c r="E227" s="338">
        <f t="shared" si="142"/>
        <v>70.2</v>
      </c>
      <c r="F227" s="212">
        <f t="shared" si="125"/>
        <v>-23.399999999999991</v>
      </c>
      <c r="G227" s="213">
        <f t="shared" si="143"/>
        <v>70.2</v>
      </c>
      <c r="H227" s="213">
        <f t="shared" si="144"/>
        <v>70.2</v>
      </c>
      <c r="I227" s="213"/>
      <c r="J227" s="213"/>
      <c r="K227" s="213"/>
      <c r="L227" s="213"/>
      <c r="M227" s="213">
        <f t="shared" si="111"/>
        <v>70.2</v>
      </c>
      <c r="N227" s="213">
        <f>3*18*1.3</f>
        <v>70.2</v>
      </c>
      <c r="O227" s="213">
        <v>0</v>
      </c>
      <c r="P227" s="213">
        <v>0</v>
      </c>
      <c r="Q227" s="213">
        <v>0</v>
      </c>
      <c r="R227" s="213">
        <v>0</v>
      </c>
      <c r="S227" s="406"/>
    </row>
    <row r="228" spans="1:19" s="183" customFormat="1" ht="33" customHeight="1">
      <c r="A228" s="209" t="s">
        <v>257</v>
      </c>
      <c r="B228" s="215" t="s">
        <v>292</v>
      </c>
      <c r="C228" s="406">
        <v>9.4</v>
      </c>
      <c r="D228" s="211"/>
      <c r="E228" s="338">
        <f t="shared" si="142"/>
        <v>9.4</v>
      </c>
      <c r="F228" s="212">
        <f t="shared" si="125"/>
        <v>0</v>
      </c>
      <c r="G228" s="213">
        <f t="shared" si="143"/>
        <v>9.4</v>
      </c>
      <c r="H228" s="213">
        <f t="shared" si="144"/>
        <v>9.4</v>
      </c>
      <c r="I228" s="213"/>
      <c r="J228" s="213"/>
      <c r="K228" s="213"/>
      <c r="L228" s="213"/>
      <c r="M228" s="213">
        <f t="shared" si="111"/>
        <v>9.4</v>
      </c>
      <c r="N228" s="213">
        <v>9.4</v>
      </c>
      <c r="O228" s="213">
        <v>0</v>
      </c>
      <c r="P228" s="213"/>
      <c r="Q228" s="213"/>
      <c r="R228" s="213"/>
      <c r="S228" s="406"/>
    </row>
    <row r="229" spans="1:19" s="183" customFormat="1" ht="21" customHeight="1">
      <c r="A229" s="209" t="s">
        <v>257</v>
      </c>
      <c r="B229" s="215" t="s">
        <v>771</v>
      </c>
      <c r="C229" s="406">
        <v>50</v>
      </c>
      <c r="D229" s="211"/>
      <c r="E229" s="338">
        <f t="shared" si="142"/>
        <v>0</v>
      </c>
      <c r="F229" s="212">
        <f t="shared" si="125"/>
        <v>-50</v>
      </c>
      <c r="G229" s="213">
        <f t="shared" si="143"/>
        <v>0</v>
      </c>
      <c r="H229" s="213">
        <f t="shared" si="144"/>
        <v>0</v>
      </c>
      <c r="I229" s="213"/>
      <c r="J229" s="213">
        <f t="shared" si="112"/>
        <v>0</v>
      </c>
      <c r="K229" s="213"/>
      <c r="L229" s="213"/>
      <c r="M229" s="213">
        <f>N229+O229</f>
        <v>0</v>
      </c>
      <c r="N229" s="213"/>
      <c r="O229" s="213">
        <v>0</v>
      </c>
      <c r="P229" s="213"/>
      <c r="Q229" s="213"/>
      <c r="R229" s="213"/>
      <c r="S229" s="406"/>
    </row>
    <row r="230" spans="1:19" s="183" customFormat="1" ht="19.5" customHeight="1">
      <c r="A230" s="209" t="s">
        <v>257</v>
      </c>
      <c r="B230" s="245" t="s">
        <v>584</v>
      </c>
      <c r="C230" s="406">
        <v>80</v>
      </c>
      <c r="D230" s="211"/>
      <c r="E230" s="338">
        <f t="shared" si="142"/>
        <v>80</v>
      </c>
      <c r="F230" s="212">
        <f t="shared" si="125"/>
        <v>0</v>
      </c>
      <c r="G230" s="213">
        <f t="shared" si="143"/>
        <v>80</v>
      </c>
      <c r="H230" s="213">
        <f t="shared" si="144"/>
        <v>80</v>
      </c>
      <c r="I230" s="213"/>
      <c r="J230" s="213"/>
      <c r="K230" s="213"/>
      <c r="L230" s="213"/>
      <c r="M230" s="213">
        <f t="shared" si="111"/>
        <v>80</v>
      </c>
      <c r="N230" s="213"/>
      <c r="O230" s="213">
        <v>80</v>
      </c>
      <c r="P230" s="213"/>
      <c r="Q230" s="213"/>
      <c r="R230" s="213"/>
      <c r="S230" s="406"/>
    </row>
    <row r="231" spans="1:19" s="183" customFormat="1" ht="17.25" customHeight="1">
      <c r="A231" s="209" t="s">
        <v>257</v>
      </c>
      <c r="B231" s="210" t="s">
        <v>418</v>
      </c>
      <c r="C231" s="406">
        <v>10</v>
      </c>
      <c r="D231" s="211"/>
      <c r="E231" s="338">
        <f t="shared" si="142"/>
        <v>10</v>
      </c>
      <c r="F231" s="212">
        <f t="shared" si="125"/>
        <v>0</v>
      </c>
      <c r="G231" s="213">
        <f t="shared" si="143"/>
        <v>10</v>
      </c>
      <c r="H231" s="213">
        <f t="shared" si="144"/>
        <v>10</v>
      </c>
      <c r="I231" s="213"/>
      <c r="J231" s="213"/>
      <c r="K231" s="213"/>
      <c r="L231" s="213"/>
      <c r="M231" s="213">
        <f>N231+O231</f>
        <v>10</v>
      </c>
      <c r="N231" s="213"/>
      <c r="O231" s="213">
        <v>10</v>
      </c>
      <c r="P231" s="213"/>
      <c r="Q231" s="213"/>
      <c r="R231" s="213"/>
      <c r="S231" s="406"/>
    </row>
    <row r="232" spans="1:19" s="183" customFormat="1" ht="41.25" customHeight="1">
      <c r="A232" s="209" t="s">
        <v>257</v>
      </c>
      <c r="B232" s="215" t="s">
        <v>691</v>
      </c>
      <c r="C232" s="406">
        <v>67.215999999999994</v>
      </c>
      <c r="D232" s="211"/>
      <c r="E232" s="338">
        <f t="shared" si="142"/>
        <v>67.22</v>
      </c>
      <c r="F232" s="212">
        <f t="shared" si="125"/>
        <v>4.0000000000048885E-3</v>
      </c>
      <c r="G232" s="213">
        <f t="shared" si="143"/>
        <v>67.22</v>
      </c>
      <c r="H232" s="213">
        <f t="shared" si="144"/>
        <v>67.22</v>
      </c>
      <c r="I232" s="213"/>
      <c r="J232" s="213">
        <v>57.22</v>
      </c>
      <c r="K232" s="213"/>
      <c r="L232" s="213"/>
      <c r="M232" s="213">
        <f>N232+O232</f>
        <v>10</v>
      </c>
      <c r="N232" s="213"/>
      <c r="O232" s="213">
        <v>10</v>
      </c>
      <c r="P232" s="213"/>
      <c r="Q232" s="213"/>
      <c r="R232" s="213">
        <v>0</v>
      </c>
      <c r="S232" s="406"/>
    </row>
    <row r="233" spans="1:19" s="183" customFormat="1" ht="26.25" customHeight="1">
      <c r="A233" s="209"/>
      <c r="B233" s="215" t="s">
        <v>555</v>
      </c>
      <c r="C233" s="406"/>
      <c r="D233" s="211"/>
      <c r="E233" s="338">
        <f t="shared" si="142"/>
        <v>150</v>
      </c>
      <c r="F233" s="212">
        <f t="shared" si="125"/>
        <v>150</v>
      </c>
      <c r="G233" s="213">
        <f t="shared" si="143"/>
        <v>150</v>
      </c>
      <c r="H233" s="213">
        <f t="shared" si="144"/>
        <v>150</v>
      </c>
      <c r="I233" s="213"/>
      <c r="J233" s="213"/>
      <c r="K233" s="213"/>
      <c r="L233" s="213"/>
      <c r="M233" s="213">
        <f>N233+O233</f>
        <v>150</v>
      </c>
      <c r="N233" s="213"/>
      <c r="O233" s="213">
        <v>150</v>
      </c>
      <c r="P233" s="213"/>
      <c r="Q233" s="213"/>
      <c r="R233" s="213"/>
      <c r="S233" s="406"/>
    </row>
    <row r="234" spans="1:19" s="183" customFormat="1" ht="17.25" customHeight="1">
      <c r="A234" s="209" t="s">
        <v>209</v>
      </c>
      <c r="B234" s="210" t="s">
        <v>421</v>
      </c>
      <c r="C234" s="406">
        <f>SUM(C235:C244)</f>
        <v>454.70899999999995</v>
      </c>
      <c r="D234" s="211"/>
      <c r="E234" s="338">
        <f>SUM(E235:E244)</f>
        <v>465.2</v>
      </c>
      <c r="F234" s="212">
        <f t="shared" si="125"/>
        <v>10.491000000000042</v>
      </c>
      <c r="G234" s="406">
        <f t="shared" ref="G234:R234" si="145">SUM(G235:G244)</f>
        <v>465.2</v>
      </c>
      <c r="H234" s="406">
        <f t="shared" si="145"/>
        <v>465.2</v>
      </c>
      <c r="I234" s="406">
        <f t="shared" si="145"/>
        <v>3</v>
      </c>
      <c r="J234" s="406">
        <f t="shared" si="145"/>
        <v>370</v>
      </c>
      <c r="K234" s="406">
        <f t="shared" si="145"/>
        <v>0</v>
      </c>
      <c r="L234" s="406">
        <f t="shared" si="145"/>
        <v>0</v>
      </c>
      <c r="M234" s="406">
        <f t="shared" si="145"/>
        <v>95.2</v>
      </c>
      <c r="N234" s="406">
        <f t="shared" si="145"/>
        <v>85.2</v>
      </c>
      <c r="O234" s="406">
        <f t="shared" si="145"/>
        <v>10</v>
      </c>
      <c r="P234" s="213">
        <f t="shared" si="145"/>
        <v>0</v>
      </c>
      <c r="Q234" s="213">
        <f t="shared" si="145"/>
        <v>0</v>
      </c>
      <c r="R234" s="213">
        <f t="shared" si="145"/>
        <v>0</v>
      </c>
      <c r="S234" s="406" t="s">
        <v>421</v>
      </c>
    </row>
    <row r="235" spans="1:19" s="183" customFormat="1" ht="17.25" customHeight="1">
      <c r="A235" s="214" t="s">
        <v>257</v>
      </c>
      <c r="B235" s="210" t="s">
        <v>422</v>
      </c>
      <c r="C235" s="406">
        <v>359.745</v>
      </c>
      <c r="D235" s="211"/>
      <c r="E235" s="338">
        <f>G235+R235</f>
        <v>370</v>
      </c>
      <c r="F235" s="212">
        <f t="shared" si="125"/>
        <v>10.254999999999995</v>
      </c>
      <c r="G235" s="213">
        <f t="shared" ref="G235:G244" si="146">H235+P235+Q235</f>
        <v>370</v>
      </c>
      <c r="H235" s="213">
        <f t="shared" ref="H235:H244" si="147">J235+M235</f>
        <v>370</v>
      </c>
      <c r="I235" s="213">
        <v>3</v>
      </c>
      <c r="J235" s="213">
        <v>370</v>
      </c>
      <c r="K235" s="213"/>
      <c r="L235" s="213"/>
      <c r="M235" s="213">
        <f t="shared" si="111"/>
        <v>0</v>
      </c>
      <c r="N235" s="213"/>
      <c r="O235" s="213">
        <v>0</v>
      </c>
      <c r="P235" s="213"/>
      <c r="Q235" s="213"/>
      <c r="R235" s="213"/>
      <c r="S235" s="406"/>
    </row>
    <row r="236" spans="1:19" s="183" customFormat="1" ht="17.25" customHeight="1">
      <c r="A236" s="214" t="s">
        <v>257</v>
      </c>
      <c r="B236" s="210" t="s">
        <v>656</v>
      </c>
      <c r="C236" s="406">
        <v>70.2</v>
      </c>
      <c r="D236" s="211"/>
      <c r="E236" s="338">
        <f>G236</f>
        <v>70.2</v>
      </c>
      <c r="F236" s="212">
        <f t="shared" si="125"/>
        <v>0</v>
      </c>
      <c r="G236" s="213">
        <f t="shared" si="146"/>
        <v>70.2</v>
      </c>
      <c r="H236" s="213">
        <f t="shared" si="147"/>
        <v>70.2</v>
      </c>
      <c r="I236" s="213"/>
      <c r="J236" s="213">
        <f t="shared" si="112"/>
        <v>0</v>
      </c>
      <c r="K236" s="213"/>
      <c r="L236" s="213"/>
      <c r="M236" s="213">
        <f t="shared" si="111"/>
        <v>70.2</v>
      </c>
      <c r="N236" s="213">
        <f>3*18*1.3</f>
        <v>70.2</v>
      </c>
      <c r="O236" s="213">
        <v>0</v>
      </c>
      <c r="P236" s="213">
        <v>0</v>
      </c>
      <c r="Q236" s="213">
        <v>0</v>
      </c>
      <c r="R236" s="213">
        <v>0</v>
      </c>
      <c r="S236" s="406"/>
    </row>
    <row r="237" spans="1:19" s="183" customFormat="1" ht="17.25" customHeight="1">
      <c r="A237" s="214" t="s">
        <v>257</v>
      </c>
      <c r="B237" s="210" t="s">
        <v>423</v>
      </c>
      <c r="C237" s="406">
        <v>5.3639999999999999</v>
      </c>
      <c r="D237" s="211"/>
      <c r="E237" s="338">
        <f t="shared" ref="E237:E244" si="148">G237+R237</f>
        <v>0</v>
      </c>
      <c r="F237" s="212">
        <f t="shared" si="125"/>
        <v>-5.3639999999999999</v>
      </c>
      <c r="G237" s="213">
        <f t="shared" si="146"/>
        <v>0</v>
      </c>
      <c r="H237" s="213">
        <f t="shared" si="147"/>
        <v>0</v>
      </c>
      <c r="I237" s="213"/>
      <c r="J237" s="213"/>
      <c r="K237" s="213"/>
      <c r="L237" s="213"/>
      <c r="M237" s="213">
        <f t="shared" si="111"/>
        <v>0</v>
      </c>
      <c r="N237" s="213"/>
      <c r="O237" s="213">
        <v>0</v>
      </c>
      <c r="P237" s="213"/>
      <c r="Q237" s="213"/>
      <c r="R237" s="213"/>
      <c r="S237" s="406"/>
    </row>
    <row r="238" spans="1:19" s="183" customFormat="1" ht="28.5" customHeight="1">
      <c r="A238" s="209" t="s">
        <v>257</v>
      </c>
      <c r="B238" s="215" t="s">
        <v>292</v>
      </c>
      <c r="C238" s="406">
        <v>9.4</v>
      </c>
      <c r="D238" s="211"/>
      <c r="E238" s="338">
        <f t="shared" si="148"/>
        <v>0</v>
      </c>
      <c r="F238" s="212">
        <f t="shared" si="125"/>
        <v>-9.4</v>
      </c>
      <c r="G238" s="213">
        <f t="shared" si="146"/>
        <v>0</v>
      </c>
      <c r="H238" s="213">
        <f t="shared" si="147"/>
        <v>0</v>
      </c>
      <c r="I238" s="213"/>
      <c r="J238" s="213">
        <f t="shared" si="112"/>
        <v>0</v>
      </c>
      <c r="K238" s="213"/>
      <c r="L238" s="213"/>
      <c r="M238" s="213">
        <f t="shared" si="111"/>
        <v>0</v>
      </c>
      <c r="N238" s="213"/>
      <c r="O238" s="213">
        <v>0</v>
      </c>
      <c r="P238" s="213"/>
      <c r="Q238" s="213"/>
      <c r="R238" s="213"/>
      <c r="S238" s="406"/>
    </row>
    <row r="239" spans="1:19" s="183" customFormat="1" ht="17.25" customHeight="1">
      <c r="A239" s="214" t="s">
        <v>257</v>
      </c>
      <c r="B239" s="210" t="s">
        <v>418</v>
      </c>
      <c r="C239" s="406">
        <v>10</v>
      </c>
      <c r="D239" s="211"/>
      <c r="E239" s="338">
        <f t="shared" si="148"/>
        <v>10</v>
      </c>
      <c r="F239" s="212">
        <f t="shared" si="125"/>
        <v>0</v>
      </c>
      <c r="G239" s="213">
        <f t="shared" si="146"/>
        <v>10</v>
      </c>
      <c r="H239" s="213">
        <f t="shared" si="147"/>
        <v>10</v>
      </c>
      <c r="I239" s="213"/>
      <c r="J239" s="213">
        <f>K239+L239</f>
        <v>0</v>
      </c>
      <c r="K239" s="213"/>
      <c r="L239" s="213"/>
      <c r="M239" s="213">
        <f>N239+O239</f>
        <v>10</v>
      </c>
      <c r="N239" s="213"/>
      <c r="O239" s="213">
        <v>10</v>
      </c>
      <c r="P239" s="213"/>
      <c r="Q239" s="213"/>
      <c r="R239" s="213"/>
      <c r="S239" s="406"/>
    </row>
    <row r="240" spans="1:19" s="183" customFormat="1" ht="40.5" hidden="1" customHeight="1">
      <c r="A240" s="214"/>
      <c r="B240" s="245" t="s">
        <v>694</v>
      </c>
      <c r="C240" s="406"/>
      <c r="D240" s="211"/>
      <c r="E240" s="338">
        <f t="shared" si="148"/>
        <v>0</v>
      </c>
      <c r="F240" s="212">
        <f t="shared" si="125"/>
        <v>0</v>
      </c>
      <c r="G240" s="213">
        <f t="shared" si="146"/>
        <v>0</v>
      </c>
      <c r="H240" s="213">
        <f t="shared" si="147"/>
        <v>0</v>
      </c>
      <c r="I240" s="213"/>
      <c r="J240" s="213"/>
      <c r="K240" s="213"/>
      <c r="L240" s="213"/>
      <c r="M240" s="213">
        <f>N240+O240</f>
        <v>0</v>
      </c>
      <c r="N240" s="213"/>
      <c r="O240" s="213"/>
      <c r="P240" s="213"/>
      <c r="Q240" s="213"/>
      <c r="R240" s="213"/>
      <c r="S240" s="406"/>
    </row>
    <row r="241" spans="1:19" s="183" customFormat="1" ht="34.5" hidden="1" customHeight="1">
      <c r="A241" s="214"/>
      <c r="B241" s="245" t="s">
        <v>695</v>
      </c>
      <c r="C241" s="406"/>
      <c r="D241" s="211"/>
      <c r="E241" s="338">
        <f t="shared" si="148"/>
        <v>0</v>
      </c>
      <c r="F241" s="212">
        <f t="shared" si="125"/>
        <v>0</v>
      </c>
      <c r="G241" s="213">
        <f t="shared" si="146"/>
        <v>0</v>
      </c>
      <c r="H241" s="213">
        <f t="shared" si="147"/>
        <v>0</v>
      </c>
      <c r="I241" s="213"/>
      <c r="J241" s="213"/>
      <c r="K241" s="213"/>
      <c r="L241" s="213"/>
      <c r="M241" s="213">
        <f>N241+O241</f>
        <v>0</v>
      </c>
      <c r="N241" s="213"/>
      <c r="O241" s="213"/>
      <c r="P241" s="213"/>
      <c r="Q241" s="213"/>
      <c r="R241" s="213"/>
      <c r="S241" s="406"/>
    </row>
    <row r="242" spans="1:19" s="183" customFormat="1" ht="43.5" hidden="1" customHeight="1">
      <c r="A242" s="209" t="s">
        <v>257</v>
      </c>
      <c r="B242" s="245" t="s">
        <v>696</v>
      </c>
      <c r="C242" s="406"/>
      <c r="D242" s="211"/>
      <c r="E242" s="338">
        <f t="shared" si="148"/>
        <v>0</v>
      </c>
      <c r="F242" s="212">
        <f t="shared" si="125"/>
        <v>0</v>
      </c>
      <c r="G242" s="213">
        <f t="shared" si="146"/>
        <v>0</v>
      </c>
      <c r="H242" s="213">
        <f t="shared" si="147"/>
        <v>0</v>
      </c>
      <c r="I242" s="213"/>
      <c r="J242" s="213">
        <f t="shared" si="112"/>
        <v>0</v>
      </c>
      <c r="K242" s="213"/>
      <c r="L242" s="213"/>
      <c r="M242" s="213">
        <f>N242+O242</f>
        <v>0</v>
      </c>
      <c r="N242" s="213"/>
      <c r="O242" s="213"/>
      <c r="P242" s="213"/>
      <c r="Q242" s="213"/>
      <c r="R242" s="213"/>
      <c r="S242" s="406"/>
    </row>
    <row r="243" spans="1:19" s="183" customFormat="1" ht="25.5" customHeight="1">
      <c r="A243" s="214" t="s">
        <v>257</v>
      </c>
      <c r="B243" s="215" t="s">
        <v>805</v>
      </c>
      <c r="C243" s="406"/>
      <c r="D243" s="211"/>
      <c r="E243" s="338">
        <f t="shared" si="148"/>
        <v>15</v>
      </c>
      <c r="F243" s="212">
        <f t="shared" si="125"/>
        <v>15</v>
      </c>
      <c r="G243" s="213">
        <f t="shared" si="146"/>
        <v>15</v>
      </c>
      <c r="H243" s="213">
        <f t="shared" si="147"/>
        <v>15</v>
      </c>
      <c r="I243" s="213"/>
      <c r="J243" s="213">
        <f>K243+L243</f>
        <v>0</v>
      </c>
      <c r="K243" s="213"/>
      <c r="L243" s="213"/>
      <c r="M243" s="213">
        <f t="shared" si="111"/>
        <v>15</v>
      </c>
      <c r="N243" s="213">
        <v>15</v>
      </c>
      <c r="O243" s="213"/>
      <c r="P243" s="213"/>
      <c r="Q243" s="213"/>
      <c r="R243" s="213"/>
      <c r="S243" s="406"/>
    </row>
    <row r="244" spans="1:19" s="183" customFormat="1" ht="17.25" customHeight="1">
      <c r="A244" s="214" t="s">
        <v>257</v>
      </c>
      <c r="B244" s="215" t="s">
        <v>693</v>
      </c>
      <c r="C244" s="406"/>
      <c r="D244" s="211"/>
      <c r="E244" s="338">
        <f t="shared" si="148"/>
        <v>0</v>
      </c>
      <c r="F244" s="212">
        <f t="shared" si="125"/>
        <v>0</v>
      </c>
      <c r="G244" s="213">
        <f t="shared" si="146"/>
        <v>0</v>
      </c>
      <c r="H244" s="213">
        <f t="shared" si="147"/>
        <v>0</v>
      </c>
      <c r="I244" s="213"/>
      <c r="J244" s="213">
        <f>K244+L244</f>
        <v>0</v>
      </c>
      <c r="K244" s="213"/>
      <c r="L244" s="213"/>
      <c r="M244" s="213">
        <f t="shared" si="111"/>
        <v>0</v>
      </c>
      <c r="N244" s="213"/>
      <c r="O244" s="213"/>
      <c r="P244" s="213"/>
      <c r="Q244" s="213"/>
      <c r="R244" s="213"/>
      <c r="S244" s="406"/>
    </row>
    <row r="245" spans="1:19" s="183" customFormat="1" ht="17.25" customHeight="1">
      <c r="A245" s="209" t="s">
        <v>216</v>
      </c>
      <c r="B245" s="210" t="s">
        <v>424</v>
      </c>
      <c r="C245" s="406">
        <f>SUM(C246:C251)</f>
        <v>372.79599999999999</v>
      </c>
      <c r="D245" s="211"/>
      <c r="E245" s="338">
        <f>SUM(E246:E251)</f>
        <v>436.18700000000001</v>
      </c>
      <c r="F245" s="212">
        <f t="shared" si="125"/>
        <v>63.39100000000002</v>
      </c>
      <c r="G245" s="213">
        <f t="shared" ref="G245:R245" si="149">SUM(G246:G251)</f>
        <v>436.18700000000001</v>
      </c>
      <c r="H245" s="213">
        <f t="shared" si="149"/>
        <v>436.18700000000001</v>
      </c>
      <c r="I245" s="213">
        <f t="shared" si="149"/>
        <v>2</v>
      </c>
      <c r="J245" s="213">
        <f t="shared" si="149"/>
        <v>264.387</v>
      </c>
      <c r="K245" s="213">
        <f t="shared" si="149"/>
        <v>0</v>
      </c>
      <c r="L245" s="213">
        <f t="shared" si="149"/>
        <v>0</v>
      </c>
      <c r="M245" s="213">
        <f t="shared" si="149"/>
        <v>171.8</v>
      </c>
      <c r="N245" s="213">
        <f t="shared" si="149"/>
        <v>46.800000000000004</v>
      </c>
      <c r="O245" s="213">
        <f t="shared" si="149"/>
        <v>125</v>
      </c>
      <c r="P245" s="213">
        <f t="shared" si="149"/>
        <v>0</v>
      </c>
      <c r="Q245" s="213">
        <f t="shared" si="149"/>
        <v>0</v>
      </c>
      <c r="R245" s="213">
        <f t="shared" si="149"/>
        <v>0</v>
      </c>
      <c r="S245" s="406" t="s">
        <v>424</v>
      </c>
    </row>
    <row r="246" spans="1:19" s="183" customFormat="1" ht="17.25" customHeight="1">
      <c r="A246" s="214" t="s">
        <v>257</v>
      </c>
      <c r="B246" s="210" t="s">
        <v>425</v>
      </c>
      <c r="C246" s="406">
        <v>212.59299999999999</v>
      </c>
      <c r="D246" s="211"/>
      <c r="E246" s="338">
        <f t="shared" ref="E246:E251" si="150">G246+R246</f>
        <v>207.167</v>
      </c>
      <c r="F246" s="212">
        <f t="shared" si="125"/>
        <v>-5.4259999999999877</v>
      </c>
      <c r="G246" s="213">
        <f t="shared" ref="G246:G251" si="151">H246+P246+Q246</f>
        <v>207.167</v>
      </c>
      <c r="H246" s="213">
        <f t="shared" ref="H246:H251" si="152">J246+M246</f>
        <v>207.167</v>
      </c>
      <c r="I246" s="213">
        <v>2</v>
      </c>
      <c r="J246" s="213">
        <v>207.167</v>
      </c>
      <c r="K246" s="213"/>
      <c r="L246" s="213"/>
      <c r="M246" s="213">
        <f t="shared" si="111"/>
        <v>0</v>
      </c>
      <c r="N246" s="213"/>
      <c r="O246" s="213">
        <v>0</v>
      </c>
      <c r="P246" s="213"/>
      <c r="Q246" s="213"/>
      <c r="R246" s="213"/>
      <c r="S246" s="406"/>
    </row>
    <row r="247" spans="1:19" s="183" customFormat="1" ht="17.25" customHeight="1">
      <c r="A247" s="214" t="s">
        <v>257</v>
      </c>
      <c r="B247" s="210" t="s">
        <v>657</v>
      </c>
      <c r="C247" s="406">
        <v>46.8</v>
      </c>
      <c r="D247" s="211"/>
      <c r="E247" s="338">
        <f t="shared" si="150"/>
        <v>46.800000000000004</v>
      </c>
      <c r="F247" s="212">
        <f t="shared" si="125"/>
        <v>0</v>
      </c>
      <c r="G247" s="213">
        <f t="shared" si="151"/>
        <v>46.800000000000004</v>
      </c>
      <c r="H247" s="213">
        <f t="shared" si="152"/>
        <v>46.800000000000004</v>
      </c>
      <c r="I247" s="213"/>
      <c r="J247" s="213">
        <f t="shared" ref="J247:J298" si="153">K247+L247</f>
        <v>0</v>
      </c>
      <c r="K247" s="213"/>
      <c r="L247" s="213"/>
      <c r="M247" s="213">
        <f t="shared" si="111"/>
        <v>46.800000000000004</v>
      </c>
      <c r="N247" s="213">
        <f>2*18*1.3</f>
        <v>46.800000000000004</v>
      </c>
      <c r="O247" s="213">
        <v>0</v>
      </c>
      <c r="P247" s="213">
        <v>0</v>
      </c>
      <c r="Q247" s="213">
        <v>0</v>
      </c>
      <c r="R247" s="213">
        <v>0</v>
      </c>
      <c r="S247" s="406"/>
    </row>
    <row r="248" spans="1:19" s="183" customFormat="1" ht="32.25" customHeight="1">
      <c r="A248" s="209" t="s">
        <v>257</v>
      </c>
      <c r="B248" s="215" t="s">
        <v>772</v>
      </c>
      <c r="C248" s="406">
        <v>31.187000000000001</v>
      </c>
      <c r="D248" s="211"/>
      <c r="E248" s="338">
        <f t="shared" si="150"/>
        <v>0</v>
      </c>
      <c r="F248" s="212">
        <f t="shared" si="125"/>
        <v>-31.187000000000001</v>
      </c>
      <c r="G248" s="213">
        <f t="shared" si="151"/>
        <v>0</v>
      </c>
      <c r="H248" s="213">
        <f t="shared" si="152"/>
        <v>0</v>
      </c>
      <c r="I248" s="213"/>
      <c r="J248" s="213">
        <f t="shared" si="153"/>
        <v>0</v>
      </c>
      <c r="K248" s="213"/>
      <c r="L248" s="213"/>
      <c r="M248" s="213">
        <f>N248+O248</f>
        <v>0</v>
      </c>
      <c r="N248" s="213"/>
      <c r="O248" s="213">
        <v>0</v>
      </c>
      <c r="P248" s="213"/>
      <c r="Q248" s="213"/>
      <c r="R248" s="213"/>
      <c r="S248" s="406"/>
    </row>
    <row r="249" spans="1:19" s="183" customFormat="1" ht="42" customHeight="1">
      <c r="A249" s="214" t="s">
        <v>257</v>
      </c>
      <c r="B249" s="215" t="s">
        <v>692</v>
      </c>
      <c r="C249" s="406">
        <v>77.215999999999994</v>
      </c>
      <c r="D249" s="211"/>
      <c r="E249" s="338">
        <f t="shared" si="150"/>
        <v>77.22</v>
      </c>
      <c r="F249" s="212">
        <f t="shared" si="125"/>
        <v>4.0000000000048885E-3</v>
      </c>
      <c r="G249" s="213">
        <f t="shared" si="151"/>
        <v>77.22</v>
      </c>
      <c r="H249" s="213">
        <f t="shared" si="152"/>
        <v>77.22</v>
      </c>
      <c r="I249" s="213"/>
      <c r="J249" s="213">
        <v>57.22</v>
      </c>
      <c r="K249" s="213"/>
      <c r="L249" s="213"/>
      <c r="M249" s="213">
        <f>N249+O249</f>
        <v>20</v>
      </c>
      <c r="N249" s="213"/>
      <c r="O249" s="213">
        <v>20</v>
      </c>
      <c r="P249" s="213"/>
      <c r="Q249" s="213"/>
      <c r="R249" s="213">
        <v>0</v>
      </c>
      <c r="S249" s="406"/>
    </row>
    <row r="250" spans="1:19" s="183" customFormat="1" ht="17.25" customHeight="1">
      <c r="A250" s="214" t="s">
        <v>257</v>
      </c>
      <c r="B250" s="210" t="s">
        <v>418</v>
      </c>
      <c r="C250" s="406">
        <v>5</v>
      </c>
      <c r="D250" s="211"/>
      <c r="E250" s="338">
        <f t="shared" si="150"/>
        <v>5</v>
      </c>
      <c r="F250" s="212">
        <f t="shared" si="125"/>
        <v>0</v>
      </c>
      <c r="G250" s="213">
        <f t="shared" si="151"/>
        <v>5</v>
      </c>
      <c r="H250" s="213">
        <f t="shared" si="152"/>
        <v>5</v>
      </c>
      <c r="I250" s="213"/>
      <c r="J250" s="213">
        <f t="shared" si="153"/>
        <v>0</v>
      </c>
      <c r="K250" s="213"/>
      <c r="L250" s="213"/>
      <c r="M250" s="213">
        <f>N250+O250</f>
        <v>5</v>
      </c>
      <c r="N250" s="213"/>
      <c r="O250" s="213">
        <v>5</v>
      </c>
      <c r="P250" s="213"/>
      <c r="Q250" s="213"/>
      <c r="R250" s="213"/>
      <c r="S250" s="406"/>
    </row>
    <row r="251" spans="1:19" s="183" customFormat="1" ht="33" customHeight="1">
      <c r="A251" s="214" t="s">
        <v>257</v>
      </c>
      <c r="B251" s="215" t="s">
        <v>697</v>
      </c>
      <c r="C251" s="406"/>
      <c r="D251" s="211"/>
      <c r="E251" s="338">
        <f t="shared" si="150"/>
        <v>100</v>
      </c>
      <c r="F251" s="212">
        <f t="shared" si="125"/>
        <v>100</v>
      </c>
      <c r="G251" s="213">
        <f t="shared" si="151"/>
        <v>100</v>
      </c>
      <c r="H251" s="213">
        <f t="shared" si="152"/>
        <v>100</v>
      </c>
      <c r="I251" s="213"/>
      <c r="J251" s="213"/>
      <c r="K251" s="213"/>
      <c r="L251" s="213"/>
      <c r="M251" s="213">
        <f>N251+O251</f>
        <v>100</v>
      </c>
      <c r="N251" s="213"/>
      <c r="O251" s="213">
        <v>100</v>
      </c>
      <c r="P251" s="213"/>
      <c r="Q251" s="213"/>
      <c r="R251" s="213"/>
      <c r="S251" s="406"/>
    </row>
    <row r="252" spans="1:19" s="183" customFormat="1" ht="17.25" customHeight="1">
      <c r="A252" s="209" t="s">
        <v>217</v>
      </c>
      <c r="B252" s="210" t="s">
        <v>427</v>
      </c>
      <c r="C252" s="406">
        <f t="shared" ref="C252:R252" si="154">SUM(C253:C256)</f>
        <v>187.625</v>
      </c>
      <c r="D252" s="211"/>
      <c r="E252" s="338">
        <f>SUM(E253:E256)</f>
        <v>120.7</v>
      </c>
      <c r="F252" s="212">
        <f t="shared" si="125"/>
        <v>-66.924999999999997</v>
      </c>
      <c r="G252" s="213">
        <f t="shared" si="154"/>
        <v>120.7</v>
      </c>
      <c r="H252" s="213">
        <f t="shared" si="154"/>
        <v>120.7</v>
      </c>
      <c r="I252" s="213">
        <f t="shared" si="154"/>
        <v>1</v>
      </c>
      <c r="J252" s="213">
        <f t="shared" si="154"/>
        <v>67.3</v>
      </c>
      <c r="K252" s="213">
        <f t="shared" si="154"/>
        <v>0</v>
      </c>
      <c r="L252" s="213">
        <f t="shared" si="154"/>
        <v>0</v>
      </c>
      <c r="M252" s="213">
        <f t="shared" si="154"/>
        <v>53.400000000000006</v>
      </c>
      <c r="N252" s="213">
        <f t="shared" si="154"/>
        <v>23.400000000000002</v>
      </c>
      <c r="O252" s="213">
        <f t="shared" si="154"/>
        <v>30</v>
      </c>
      <c r="P252" s="213">
        <f t="shared" si="154"/>
        <v>0</v>
      </c>
      <c r="Q252" s="213">
        <f t="shared" si="154"/>
        <v>0</v>
      </c>
      <c r="R252" s="213">
        <f t="shared" si="154"/>
        <v>0</v>
      </c>
      <c r="S252" s="406" t="s">
        <v>428</v>
      </c>
    </row>
    <row r="253" spans="1:19" s="183" customFormat="1" ht="17.25" customHeight="1">
      <c r="A253" s="214" t="s">
        <v>257</v>
      </c>
      <c r="B253" s="210" t="s">
        <v>429</v>
      </c>
      <c r="C253" s="406">
        <v>69.375</v>
      </c>
      <c r="D253" s="211"/>
      <c r="E253" s="338">
        <f>G253+R253</f>
        <v>67.3</v>
      </c>
      <c r="F253" s="212">
        <f t="shared" si="125"/>
        <v>-2.0750000000000028</v>
      </c>
      <c r="G253" s="213">
        <f>H253+P253+Q253</f>
        <v>67.3</v>
      </c>
      <c r="H253" s="213">
        <f>J253+M253</f>
        <v>67.3</v>
      </c>
      <c r="I253" s="213">
        <v>1</v>
      </c>
      <c r="J253" s="213">
        <f>58.8+8.5</f>
        <v>67.3</v>
      </c>
      <c r="K253" s="213"/>
      <c r="L253" s="213"/>
      <c r="M253" s="213">
        <f t="shared" si="111"/>
        <v>0</v>
      </c>
      <c r="N253" s="213"/>
      <c r="O253" s="213">
        <v>0</v>
      </c>
      <c r="P253" s="213"/>
      <c r="Q253" s="213"/>
      <c r="R253" s="213"/>
      <c r="S253" s="406"/>
    </row>
    <row r="254" spans="1:19" s="183" customFormat="1" ht="17.25" customHeight="1">
      <c r="A254" s="214" t="s">
        <v>257</v>
      </c>
      <c r="B254" s="210" t="s">
        <v>658</v>
      </c>
      <c r="C254" s="406">
        <v>18</v>
      </c>
      <c r="D254" s="211"/>
      <c r="E254" s="338">
        <f>G254+R254</f>
        <v>23.400000000000002</v>
      </c>
      <c r="F254" s="212">
        <f t="shared" si="125"/>
        <v>5.4000000000000021</v>
      </c>
      <c r="G254" s="213">
        <f>H254+P254+Q254</f>
        <v>23.400000000000002</v>
      </c>
      <c r="H254" s="213">
        <f>J254+M254</f>
        <v>23.400000000000002</v>
      </c>
      <c r="I254" s="213"/>
      <c r="J254" s="213">
        <f t="shared" si="153"/>
        <v>0</v>
      </c>
      <c r="K254" s="213"/>
      <c r="L254" s="213"/>
      <c r="M254" s="213">
        <f t="shared" si="111"/>
        <v>23.400000000000002</v>
      </c>
      <c r="N254" s="213">
        <f>18*1.3</f>
        <v>23.400000000000002</v>
      </c>
      <c r="O254" s="213">
        <v>0</v>
      </c>
      <c r="P254" s="213">
        <v>0</v>
      </c>
      <c r="Q254" s="213"/>
      <c r="R254" s="213">
        <v>0</v>
      </c>
      <c r="S254" s="406"/>
    </row>
    <row r="255" spans="1:19" s="183" customFormat="1" ht="17.25" customHeight="1">
      <c r="A255" s="214" t="s">
        <v>257</v>
      </c>
      <c r="B255" s="210" t="s">
        <v>698</v>
      </c>
      <c r="C255" s="406">
        <v>30</v>
      </c>
      <c r="D255" s="211"/>
      <c r="E255" s="338">
        <f>G255+R255</f>
        <v>30</v>
      </c>
      <c r="F255" s="212">
        <f t="shared" si="125"/>
        <v>0</v>
      </c>
      <c r="G255" s="213">
        <f>H255+P255+Q255</f>
        <v>30</v>
      </c>
      <c r="H255" s="213">
        <f>J255+M255</f>
        <v>30</v>
      </c>
      <c r="I255" s="213"/>
      <c r="J255" s="213">
        <f>K255+L255</f>
        <v>0</v>
      </c>
      <c r="K255" s="213"/>
      <c r="L255" s="213"/>
      <c r="M255" s="213">
        <f>N255+O255</f>
        <v>30</v>
      </c>
      <c r="N255" s="213"/>
      <c r="O255" s="213">
        <v>30</v>
      </c>
      <c r="P255" s="213"/>
      <c r="Q255" s="213"/>
      <c r="R255" s="213"/>
      <c r="S255" s="406"/>
    </row>
    <row r="256" spans="1:19" s="183" customFormat="1" ht="17.25" customHeight="1">
      <c r="A256" s="214"/>
      <c r="B256" s="210" t="s">
        <v>773</v>
      </c>
      <c r="C256" s="406">
        <v>70.25</v>
      </c>
      <c r="D256" s="211"/>
      <c r="E256" s="338"/>
      <c r="F256" s="212">
        <f t="shared" ref="F256:F317" si="155">E256-C256</f>
        <v>-70.25</v>
      </c>
      <c r="G256" s="213"/>
      <c r="H256" s="213"/>
      <c r="I256" s="213"/>
      <c r="J256" s="213"/>
      <c r="K256" s="213"/>
      <c r="L256" s="213"/>
      <c r="M256" s="213"/>
      <c r="N256" s="213"/>
      <c r="O256" s="213"/>
      <c r="P256" s="213"/>
      <c r="Q256" s="213"/>
      <c r="R256" s="213"/>
      <c r="S256" s="406"/>
    </row>
    <row r="257" spans="1:19" s="183" customFormat="1" ht="17.25" customHeight="1">
      <c r="A257" s="209" t="s">
        <v>430</v>
      </c>
      <c r="B257" s="210" t="s">
        <v>431</v>
      </c>
      <c r="C257" s="406">
        <f>C258+C278+C286+C293+C304+C315+C324+C337+C347+C355+C364+C371+C379+C386+C387</f>
        <v>15293.074000000001</v>
      </c>
      <c r="D257" s="211">
        <f>D258+D278+D286+D293+D304+D315+D324+D337+D347+D355+D364+D371+D379+D386+D387</f>
        <v>0</v>
      </c>
      <c r="E257" s="338">
        <f>E258+E278+E286+E293+E304+E315+E324+E337+E347+E355+E364+E371+E379+E386+E387</f>
        <v>15093.73302</v>
      </c>
      <c r="F257" s="212">
        <f t="shared" si="155"/>
        <v>-199.34098000000085</v>
      </c>
      <c r="G257" s="213">
        <f t="shared" ref="G257:R257" si="156">G258+G278+G286+G293+G304+G315+G324+G337+G347+G355+G364+G371+G379+G386+G387</f>
        <v>15093.73302</v>
      </c>
      <c r="H257" s="213">
        <f t="shared" si="156"/>
        <v>15093.73302</v>
      </c>
      <c r="I257" s="213">
        <f t="shared" si="156"/>
        <v>83</v>
      </c>
      <c r="J257" s="213">
        <f t="shared" si="156"/>
        <v>9399.5330200000008</v>
      </c>
      <c r="K257" s="213">
        <f t="shared" si="156"/>
        <v>0</v>
      </c>
      <c r="L257" s="213">
        <f t="shared" si="156"/>
        <v>0</v>
      </c>
      <c r="M257" s="213">
        <f t="shared" si="156"/>
        <v>5694.2</v>
      </c>
      <c r="N257" s="213">
        <f t="shared" si="156"/>
        <v>2279.1999999999998</v>
      </c>
      <c r="O257" s="213">
        <f t="shared" si="156"/>
        <v>3415</v>
      </c>
      <c r="P257" s="213">
        <f t="shared" si="156"/>
        <v>0</v>
      </c>
      <c r="Q257" s="213">
        <f t="shared" si="156"/>
        <v>0</v>
      </c>
      <c r="R257" s="213">
        <f t="shared" si="156"/>
        <v>0</v>
      </c>
      <c r="S257" s="406"/>
    </row>
    <row r="258" spans="1:19" s="183" customFormat="1" ht="17.25" customHeight="1">
      <c r="A258" s="209" t="s">
        <v>204</v>
      </c>
      <c r="B258" s="210" t="s">
        <v>432</v>
      </c>
      <c r="C258" s="406">
        <f>C259+C267+C274</f>
        <v>5405.1930000000002</v>
      </c>
      <c r="D258" s="211"/>
      <c r="E258" s="338">
        <f>E259+E267+E274</f>
        <v>4794.07</v>
      </c>
      <c r="F258" s="212">
        <f t="shared" si="155"/>
        <v>-611.1230000000005</v>
      </c>
      <c r="G258" s="213">
        <f t="shared" ref="G258:R258" si="157">G259+G267+G274</f>
        <v>4794.07</v>
      </c>
      <c r="H258" s="213">
        <f t="shared" si="157"/>
        <v>4794.07</v>
      </c>
      <c r="I258" s="213">
        <f t="shared" si="157"/>
        <v>23</v>
      </c>
      <c r="J258" s="213">
        <f t="shared" si="157"/>
        <v>2419.67</v>
      </c>
      <c r="K258" s="213">
        <f t="shared" si="157"/>
        <v>0</v>
      </c>
      <c r="L258" s="213">
        <f t="shared" si="157"/>
        <v>0</v>
      </c>
      <c r="M258" s="213">
        <f t="shared" si="157"/>
        <v>2374.4</v>
      </c>
      <c r="N258" s="213">
        <f t="shared" si="157"/>
        <v>674.4</v>
      </c>
      <c r="O258" s="213">
        <f t="shared" si="157"/>
        <v>1700</v>
      </c>
      <c r="P258" s="213">
        <f t="shared" si="157"/>
        <v>0</v>
      </c>
      <c r="Q258" s="213">
        <f t="shared" si="157"/>
        <v>0</v>
      </c>
      <c r="R258" s="213">
        <f t="shared" si="157"/>
        <v>0</v>
      </c>
      <c r="S258" s="406" t="s">
        <v>432</v>
      </c>
    </row>
    <row r="259" spans="1:19" s="228" customFormat="1" ht="17.25" customHeight="1">
      <c r="A259" s="209" t="s">
        <v>269</v>
      </c>
      <c r="B259" s="210" t="s">
        <v>433</v>
      </c>
      <c r="C259" s="406">
        <f>SUM(C260:C266)</f>
        <v>3710.1930000000002</v>
      </c>
      <c r="D259" s="211"/>
      <c r="E259" s="338">
        <f>SUM(E260:E266)</f>
        <v>3344.07</v>
      </c>
      <c r="F259" s="212">
        <f t="shared" si="155"/>
        <v>-366.12300000000005</v>
      </c>
      <c r="G259" s="213">
        <f>SUM(G260:G266)</f>
        <v>3344.07</v>
      </c>
      <c r="H259" s="213">
        <f>SUM(H260:H266)</f>
        <v>3344.07</v>
      </c>
      <c r="I259" s="213">
        <v>23</v>
      </c>
      <c r="J259" s="213">
        <f t="shared" ref="J259:R259" si="158">SUM(J260:J266)</f>
        <v>2419.67</v>
      </c>
      <c r="K259" s="213">
        <f t="shared" si="158"/>
        <v>0</v>
      </c>
      <c r="L259" s="213">
        <f t="shared" si="158"/>
        <v>0</v>
      </c>
      <c r="M259" s="213">
        <f t="shared" si="158"/>
        <v>924.4</v>
      </c>
      <c r="N259" s="213">
        <f t="shared" si="158"/>
        <v>674.4</v>
      </c>
      <c r="O259" s="213">
        <f t="shared" si="158"/>
        <v>250</v>
      </c>
      <c r="P259" s="213">
        <f t="shared" si="158"/>
        <v>0</v>
      </c>
      <c r="Q259" s="213">
        <f t="shared" si="158"/>
        <v>0</v>
      </c>
      <c r="R259" s="213">
        <f t="shared" si="158"/>
        <v>0</v>
      </c>
      <c r="S259" s="406"/>
    </row>
    <row r="260" spans="1:19" s="183" customFormat="1" ht="19.5" customHeight="1">
      <c r="A260" s="209" t="s">
        <v>257</v>
      </c>
      <c r="B260" s="215" t="s">
        <v>554</v>
      </c>
      <c r="C260" s="406">
        <v>2656.44</v>
      </c>
      <c r="D260" s="211"/>
      <c r="E260" s="338">
        <f t="shared" ref="E260:E266" si="159">G260+R260</f>
        <v>2400.71</v>
      </c>
      <c r="F260" s="212">
        <f t="shared" si="155"/>
        <v>-255.73000000000002</v>
      </c>
      <c r="G260" s="213">
        <f t="shared" ref="G260:G266" si="160">H260+P260+Q260</f>
        <v>2400.71</v>
      </c>
      <c r="H260" s="213">
        <f t="shared" ref="H260:H266" si="161">J260+M260</f>
        <v>2400.71</v>
      </c>
      <c r="I260" s="213">
        <v>23</v>
      </c>
      <c r="J260" s="402">
        <v>2400.71</v>
      </c>
      <c r="K260" s="213"/>
      <c r="L260" s="213"/>
      <c r="M260" s="213">
        <f t="shared" si="111"/>
        <v>0</v>
      </c>
      <c r="N260" s="213"/>
      <c r="O260" s="213"/>
      <c r="P260" s="213"/>
      <c r="Q260" s="213"/>
      <c r="R260" s="213"/>
      <c r="S260" s="406"/>
    </row>
    <row r="261" spans="1:19" s="183" customFormat="1" ht="18" customHeight="1">
      <c r="A261" s="209" t="s">
        <v>257</v>
      </c>
      <c r="B261" s="215" t="s">
        <v>673</v>
      </c>
      <c r="C261" s="406">
        <v>819.9</v>
      </c>
      <c r="D261" s="211"/>
      <c r="E261" s="338">
        <f t="shared" si="159"/>
        <v>662.4</v>
      </c>
      <c r="F261" s="212">
        <f t="shared" si="155"/>
        <v>-157.5</v>
      </c>
      <c r="G261" s="213">
        <f t="shared" si="160"/>
        <v>662.4</v>
      </c>
      <c r="H261" s="213">
        <f t="shared" si="161"/>
        <v>662.4</v>
      </c>
      <c r="I261" s="213"/>
      <c r="J261" s="213">
        <f t="shared" si="153"/>
        <v>0</v>
      </c>
      <c r="K261" s="213"/>
      <c r="L261" s="213"/>
      <c r="M261" s="213">
        <f>N261+O261</f>
        <v>662.4</v>
      </c>
      <c r="N261" s="213">
        <f>23*16*1.8</f>
        <v>662.4</v>
      </c>
      <c r="O261" s="213">
        <v>0</v>
      </c>
      <c r="P261" s="213">
        <v>0</v>
      </c>
      <c r="Q261" s="213">
        <v>0</v>
      </c>
      <c r="R261" s="213">
        <v>0</v>
      </c>
      <c r="S261" s="406"/>
    </row>
    <row r="262" spans="1:19" s="183" customFormat="1" ht="18" customHeight="1">
      <c r="A262" s="209" t="s">
        <v>257</v>
      </c>
      <c r="B262" s="210" t="s">
        <v>318</v>
      </c>
      <c r="C262" s="406">
        <v>10.728</v>
      </c>
      <c r="D262" s="211"/>
      <c r="E262" s="338">
        <f t="shared" si="159"/>
        <v>10.73</v>
      </c>
      <c r="F262" s="212">
        <f t="shared" si="155"/>
        <v>2.0000000000006679E-3</v>
      </c>
      <c r="G262" s="213">
        <f t="shared" si="160"/>
        <v>10.73</v>
      </c>
      <c r="H262" s="213">
        <f t="shared" si="161"/>
        <v>10.73</v>
      </c>
      <c r="I262" s="213"/>
      <c r="J262" s="213">
        <v>10.73</v>
      </c>
      <c r="K262" s="213"/>
      <c r="L262" s="213"/>
      <c r="M262" s="213">
        <f t="shared" si="111"/>
        <v>0</v>
      </c>
      <c r="N262" s="213"/>
      <c r="O262" s="213">
        <v>0</v>
      </c>
      <c r="P262" s="213"/>
      <c r="Q262" s="213"/>
      <c r="R262" s="213"/>
      <c r="S262" s="406"/>
    </row>
    <row r="263" spans="1:19" s="183" customFormat="1" ht="31.5" customHeight="1">
      <c r="A263" s="209" t="s">
        <v>257</v>
      </c>
      <c r="B263" s="215" t="s">
        <v>292</v>
      </c>
      <c r="C263" s="406">
        <v>14.9</v>
      </c>
      <c r="D263" s="211"/>
      <c r="E263" s="338">
        <f t="shared" si="159"/>
        <v>12</v>
      </c>
      <c r="F263" s="212">
        <f t="shared" si="155"/>
        <v>-2.9000000000000004</v>
      </c>
      <c r="G263" s="213">
        <f t="shared" si="160"/>
        <v>12</v>
      </c>
      <c r="H263" s="213">
        <f t="shared" si="161"/>
        <v>12</v>
      </c>
      <c r="I263" s="213"/>
      <c r="J263" s="213">
        <f t="shared" si="153"/>
        <v>0</v>
      </c>
      <c r="K263" s="213"/>
      <c r="L263" s="213"/>
      <c r="M263" s="213">
        <f t="shared" si="111"/>
        <v>12</v>
      </c>
      <c r="N263" s="213">
        <v>12</v>
      </c>
      <c r="O263" s="213">
        <v>0</v>
      </c>
      <c r="P263" s="213"/>
      <c r="Q263" s="213"/>
      <c r="R263" s="213"/>
      <c r="S263" s="406"/>
    </row>
    <row r="264" spans="1:19" s="183" customFormat="1" ht="17.25" customHeight="1">
      <c r="A264" s="209" t="s">
        <v>257</v>
      </c>
      <c r="B264" s="210" t="s">
        <v>707</v>
      </c>
      <c r="C264" s="406">
        <v>8.2249999999999996</v>
      </c>
      <c r="D264" s="211"/>
      <c r="E264" s="338">
        <f t="shared" si="159"/>
        <v>8.23</v>
      </c>
      <c r="F264" s="212">
        <f t="shared" si="155"/>
        <v>5.0000000000007816E-3</v>
      </c>
      <c r="G264" s="213">
        <f t="shared" si="160"/>
        <v>8.23</v>
      </c>
      <c r="H264" s="213">
        <f t="shared" si="161"/>
        <v>8.23</v>
      </c>
      <c r="I264" s="213"/>
      <c r="J264" s="213">
        <v>8.23</v>
      </c>
      <c r="K264" s="213"/>
      <c r="L264" s="213"/>
      <c r="M264" s="213">
        <f t="shared" ref="M264:M331" si="162">N264+O264</f>
        <v>0</v>
      </c>
      <c r="N264" s="213"/>
      <c r="O264" s="213">
        <v>0</v>
      </c>
      <c r="P264" s="213"/>
      <c r="Q264" s="213"/>
      <c r="R264" s="213"/>
      <c r="S264" s="406"/>
    </row>
    <row r="265" spans="1:19" s="183" customFormat="1" ht="17.25" customHeight="1">
      <c r="A265" s="209" t="s">
        <v>257</v>
      </c>
      <c r="B265" s="210" t="s">
        <v>699</v>
      </c>
      <c r="C265" s="406">
        <v>200</v>
      </c>
      <c r="D265" s="211"/>
      <c r="E265" s="338">
        <f t="shared" si="159"/>
        <v>250</v>
      </c>
      <c r="F265" s="212">
        <f t="shared" si="155"/>
        <v>50</v>
      </c>
      <c r="G265" s="213">
        <f t="shared" si="160"/>
        <v>250</v>
      </c>
      <c r="H265" s="213">
        <f t="shared" si="161"/>
        <v>250</v>
      </c>
      <c r="I265" s="213"/>
      <c r="J265" s="213">
        <f>K265+L265</f>
        <v>0</v>
      </c>
      <c r="K265" s="213"/>
      <c r="L265" s="213"/>
      <c r="M265" s="213">
        <f t="shared" si="162"/>
        <v>250</v>
      </c>
      <c r="N265" s="213"/>
      <c r="O265" s="213">
        <v>250</v>
      </c>
      <c r="P265" s="213"/>
      <c r="Q265" s="213"/>
      <c r="R265" s="213"/>
      <c r="S265" s="406"/>
    </row>
    <row r="266" spans="1:19" s="183" customFormat="1" ht="17.25" customHeight="1">
      <c r="A266" s="209" t="s">
        <v>257</v>
      </c>
      <c r="B266" s="210" t="s">
        <v>434</v>
      </c>
      <c r="C266" s="406"/>
      <c r="D266" s="211"/>
      <c r="E266" s="338">
        <f t="shared" si="159"/>
        <v>0</v>
      </c>
      <c r="F266" s="212">
        <f t="shared" si="155"/>
        <v>0</v>
      </c>
      <c r="G266" s="213">
        <f t="shared" si="160"/>
        <v>0</v>
      </c>
      <c r="H266" s="213">
        <f t="shared" si="161"/>
        <v>0</v>
      </c>
      <c r="I266" s="213"/>
      <c r="J266" s="213">
        <f t="shared" si="153"/>
        <v>0</v>
      </c>
      <c r="K266" s="213"/>
      <c r="L266" s="213"/>
      <c r="M266" s="213">
        <f t="shared" si="162"/>
        <v>0</v>
      </c>
      <c r="N266" s="213"/>
      <c r="O266" s="213"/>
      <c r="P266" s="213"/>
      <c r="Q266" s="213"/>
      <c r="R266" s="213"/>
      <c r="S266" s="406"/>
    </row>
    <row r="267" spans="1:19" s="228" customFormat="1" ht="17.25" customHeight="1">
      <c r="A267" s="209" t="s">
        <v>274</v>
      </c>
      <c r="B267" s="210" t="s">
        <v>435</v>
      </c>
      <c r="C267" s="406">
        <f t="shared" ref="C267:R267" si="163">SUM(C268:C273)</f>
        <v>1170</v>
      </c>
      <c r="D267" s="211"/>
      <c r="E267" s="338">
        <f t="shared" si="163"/>
        <v>1220</v>
      </c>
      <c r="F267" s="212">
        <f t="shared" si="155"/>
        <v>50</v>
      </c>
      <c r="G267" s="213">
        <f>SUM(G268:G273)</f>
        <v>1220</v>
      </c>
      <c r="H267" s="213">
        <f t="shared" si="163"/>
        <v>1220</v>
      </c>
      <c r="I267" s="213">
        <f t="shared" si="163"/>
        <v>0</v>
      </c>
      <c r="J267" s="213">
        <f t="shared" si="163"/>
        <v>0</v>
      </c>
      <c r="K267" s="213">
        <f t="shared" si="163"/>
        <v>0</v>
      </c>
      <c r="L267" s="213"/>
      <c r="M267" s="213">
        <f t="shared" si="163"/>
        <v>1220</v>
      </c>
      <c r="N267" s="213">
        <f t="shared" si="163"/>
        <v>0</v>
      </c>
      <c r="O267" s="213">
        <f t="shared" si="163"/>
        <v>1220</v>
      </c>
      <c r="P267" s="213">
        <f t="shared" si="163"/>
        <v>0</v>
      </c>
      <c r="Q267" s="213">
        <f t="shared" si="163"/>
        <v>0</v>
      </c>
      <c r="R267" s="213">
        <f t="shared" si="163"/>
        <v>0</v>
      </c>
      <c r="S267" s="406"/>
    </row>
    <row r="268" spans="1:19" s="183" customFormat="1" ht="28.5" customHeight="1">
      <c r="A268" s="209" t="s">
        <v>257</v>
      </c>
      <c r="B268" s="215" t="s">
        <v>436</v>
      </c>
      <c r="C268" s="406">
        <v>250</v>
      </c>
      <c r="D268" s="211"/>
      <c r="E268" s="338">
        <f t="shared" ref="E268:E273" si="164">G268+R268</f>
        <v>250</v>
      </c>
      <c r="F268" s="212">
        <f t="shared" si="155"/>
        <v>0</v>
      </c>
      <c r="G268" s="213">
        <f t="shared" ref="G268:G273" si="165">H268+P268+Q268</f>
        <v>250</v>
      </c>
      <c r="H268" s="213">
        <f t="shared" ref="H268:H273" si="166">J268+M268</f>
        <v>250</v>
      </c>
      <c r="I268" s="213"/>
      <c r="J268" s="213">
        <f t="shared" si="153"/>
        <v>0</v>
      </c>
      <c r="K268" s="213"/>
      <c r="L268" s="213"/>
      <c r="M268" s="213">
        <f t="shared" si="162"/>
        <v>250</v>
      </c>
      <c r="N268" s="213"/>
      <c r="O268" s="213">
        <v>250</v>
      </c>
      <c r="P268" s="213"/>
      <c r="Q268" s="213"/>
      <c r="R268" s="213"/>
      <c r="S268" s="406"/>
    </row>
    <row r="269" spans="1:19" s="183" customFormat="1" ht="17.25" customHeight="1">
      <c r="A269" s="209" t="s">
        <v>257</v>
      </c>
      <c r="B269" s="210" t="s">
        <v>437</v>
      </c>
      <c r="C269" s="406">
        <v>500</v>
      </c>
      <c r="D269" s="211"/>
      <c r="E269" s="338">
        <f t="shared" si="164"/>
        <v>500</v>
      </c>
      <c r="F269" s="212">
        <f t="shared" si="155"/>
        <v>0</v>
      </c>
      <c r="G269" s="213">
        <f t="shared" si="165"/>
        <v>500</v>
      </c>
      <c r="H269" s="213">
        <f t="shared" si="166"/>
        <v>500</v>
      </c>
      <c r="I269" s="213"/>
      <c r="J269" s="213">
        <f t="shared" si="153"/>
        <v>0</v>
      </c>
      <c r="K269" s="213"/>
      <c r="L269" s="213"/>
      <c r="M269" s="213">
        <f t="shared" si="162"/>
        <v>500</v>
      </c>
      <c r="N269" s="213"/>
      <c r="O269" s="213">
        <v>500</v>
      </c>
      <c r="P269" s="213"/>
      <c r="Q269" s="213"/>
      <c r="R269" s="213"/>
      <c r="S269" s="406"/>
    </row>
    <row r="270" spans="1:19" s="183" customFormat="1" ht="36" customHeight="1">
      <c r="A270" s="209" t="s">
        <v>257</v>
      </c>
      <c r="B270" s="246" t="s">
        <v>700</v>
      </c>
      <c r="C270" s="406">
        <v>300</v>
      </c>
      <c r="D270" s="211"/>
      <c r="E270" s="338">
        <f t="shared" si="164"/>
        <v>350</v>
      </c>
      <c r="F270" s="212">
        <f t="shared" si="155"/>
        <v>50</v>
      </c>
      <c r="G270" s="213">
        <f t="shared" si="165"/>
        <v>350</v>
      </c>
      <c r="H270" s="213">
        <f t="shared" si="166"/>
        <v>350</v>
      </c>
      <c r="I270" s="213"/>
      <c r="J270" s="213">
        <f t="shared" si="153"/>
        <v>0</v>
      </c>
      <c r="K270" s="213"/>
      <c r="L270" s="213"/>
      <c r="M270" s="213">
        <f t="shared" si="162"/>
        <v>350</v>
      </c>
      <c r="N270" s="213"/>
      <c r="O270" s="213">
        <v>350</v>
      </c>
      <c r="P270" s="213"/>
      <c r="Q270" s="213"/>
      <c r="R270" s="213"/>
      <c r="S270" s="406"/>
    </row>
    <row r="271" spans="1:19" s="183" customFormat="1" ht="17.25" customHeight="1">
      <c r="A271" s="209" t="s">
        <v>257</v>
      </c>
      <c r="B271" s="210" t="s">
        <v>438</v>
      </c>
      <c r="C271" s="406">
        <v>50</v>
      </c>
      <c r="D271" s="211"/>
      <c r="E271" s="338">
        <f t="shared" si="164"/>
        <v>50</v>
      </c>
      <c r="F271" s="212">
        <f t="shared" si="155"/>
        <v>0</v>
      </c>
      <c r="G271" s="213">
        <f t="shared" si="165"/>
        <v>50</v>
      </c>
      <c r="H271" s="213">
        <f t="shared" si="166"/>
        <v>50</v>
      </c>
      <c r="I271" s="213"/>
      <c r="J271" s="213">
        <f t="shared" si="153"/>
        <v>0</v>
      </c>
      <c r="K271" s="213"/>
      <c r="L271" s="213"/>
      <c r="M271" s="213">
        <f>N271+O271</f>
        <v>50</v>
      </c>
      <c r="N271" s="213"/>
      <c r="O271" s="213">
        <v>50</v>
      </c>
      <c r="P271" s="213"/>
      <c r="Q271" s="213"/>
      <c r="R271" s="213"/>
      <c r="S271" s="406"/>
    </row>
    <row r="272" spans="1:19" s="183" customFormat="1" ht="48.75" customHeight="1">
      <c r="A272" s="209" t="s">
        <v>257</v>
      </c>
      <c r="B272" s="230" t="s">
        <v>439</v>
      </c>
      <c r="C272" s="406">
        <v>20</v>
      </c>
      <c r="D272" s="211"/>
      <c r="E272" s="338">
        <f t="shared" si="164"/>
        <v>20</v>
      </c>
      <c r="F272" s="212">
        <f t="shared" si="155"/>
        <v>0</v>
      </c>
      <c r="G272" s="213">
        <f t="shared" si="165"/>
        <v>20</v>
      </c>
      <c r="H272" s="213">
        <f t="shared" si="166"/>
        <v>20</v>
      </c>
      <c r="I272" s="213"/>
      <c r="J272" s="213">
        <f t="shared" si="153"/>
        <v>0</v>
      </c>
      <c r="K272" s="213"/>
      <c r="L272" s="213"/>
      <c r="M272" s="213">
        <f t="shared" si="162"/>
        <v>20</v>
      </c>
      <c r="N272" s="213"/>
      <c r="O272" s="213">
        <v>20</v>
      </c>
      <c r="P272" s="213"/>
      <c r="Q272" s="213"/>
      <c r="R272" s="213"/>
      <c r="S272" s="406"/>
    </row>
    <row r="273" spans="1:19" s="183" customFormat="1" ht="17.25" customHeight="1">
      <c r="A273" s="209" t="s">
        <v>257</v>
      </c>
      <c r="B273" s="210" t="s">
        <v>440</v>
      </c>
      <c r="C273" s="406">
        <v>50</v>
      </c>
      <c r="D273" s="211"/>
      <c r="E273" s="338">
        <f t="shared" si="164"/>
        <v>50</v>
      </c>
      <c r="F273" s="212">
        <f t="shared" si="155"/>
        <v>0</v>
      </c>
      <c r="G273" s="213">
        <f t="shared" si="165"/>
        <v>50</v>
      </c>
      <c r="H273" s="213">
        <f t="shared" si="166"/>
        <v>50</v>
      </c>
      <c r="I273" s="213"/>
      <c r="J273" s="213">
        <f t="shared" si="153"/>
        <v>0</v>
      </c>
      <c r="K273" s="213"/>
      <c r="L273" s="213"/>
      <c r="M273" s="213">
        <f t="shared" si="162"/>
        <v>50</v>
      </c>
      <c r="N273" s="213"/>
      <c r="O273" s="213">
        <v>50</v>
      </c>
      <c r="P273" s="213"/>
      <c r="Q273" s="213"/>
      <c r="R273" s="213"/>
      <c r="S273" s="406"/>
    </row>
    <row r="274" spans="1:19" s="183" customFormat="1" ht="17.25" customHeight="1">
      <c r="A274" s="209" t="s">
        <v>441</v>
      </c>
      <c r="B274" s="210" t="s">
        <v>442</v>
      </c>
      <c r="C274" s="406">
        <f>SUM(C275:C277)</f>
        <v>525</v>
      </c>
      <c r="D274" s="211"/>
      <c r="E274" s="338">
        <f t="shared" ref="E274:K274" si="167">SUM(E275:E277)</f>
        <v>230</v>
      </c>
      <c r="F274" s="212">
        <f t="shared" si="155"/>
        <v>-295</v>
      </c>
      <c r="G274" s="213">
        <f t="shared" si="167"/>
        <v>230</v>
      </c>
      <c r="H274" s="213">
        <f t="shared" si="167"/>
        <v>230</v>
      </c>
      <c r="I274" s="213">
        <f t="shared" si="167"/>
        <v>0</v>
      </c>
      <c r="J274" s="213">
        <f t="shared" si="167"/>
        <v>0</v>
      </c>
      <c r="K274" s="213">
        <f t="shared" si="167"/>
        <v>0</v>
      </c>
      <c r="L274" s="213"/>
      <c r="M274" s="213">
        <f t="shared" ref="M274:R274" si="168">SUM(M275:M277)</f>
        <v>230</v>
      </c>
      <c r="N274" s="213">
        <f t="shared" si="168"/>
        <v>0</v>
      </c>
      <c r="O274" s="213">
        <f t="shared" si="168"/>
        <v>230</v>
      </c>
      <c r="P274" s="213">
        <f t="shared" si="168"/>
        <v>0</v>
      </c>
      <c r="Q274" s="213">
        <f t="shared" si="168"/>
        <v>0</v>
      </c>
      <c r="R274" s="213">
        <f t="shared" si="168"/>
        <v>0</v>
      </c>
      <c r="S274" s="406"/>
    </row>
    <row r="275" spans="1:19" s="183" customFormat="1" ht="19.5" customHeight="1">
      <c r="A275" s="209" t="s">
        <v>257</v>
      </c>
      <c r="B275" s="215" t="s">
        <v>443</v>
      </c>
      <c r="C275" s="406">
        <v>180</v>
      </c>
      <c r="D275" s="211"/>
      <c r="E275" s="338">
        <f>G275+R275</f>
        <v>0</v>
      </c>
      <c r="F275" s="212">
        <f t="shared" si="155"/>
        <v>-180</v>
      </c>
      <c r="G275" s="213">
        <f>H275+P275+Q275</f>
        <v>0</v>
      </c>
      <c r="H275" s="213">
        <f>J275+M275</f>
        <v>0</v>
      </c>
      <c r="I275" s="213"/>
      <c r="J275" s="213">
        <f t="shared" si="153"/>
        <v>0</v>
      </c>
      <c r="K275" s="213"/>
      <c r="L275" s="213"/>
      <c r="M275" s="213">
        <f t="shared" si="162"/>
        <v>0</v>
      </c>
      <c r="N275" s="213"/>
      <c r="O275" s="213"/>
      <c r="P275" s="213"/>
      <c r="Q275" s="213"/>
      <c r="R275" s="213"/>
      <c r="S275" s="406"/>
    </row>
    <row r="276" spans="1:19" s="183" customFormat="1" ht="28.5" customHeight="1">
      <c r="A276" s="209"/>
      <c r="B276" s="215" t="s">
        <v>793</v>
      </c>
      <c r="C276" s="444">
        <v>45</v>
      </c>
      <c r="D276" s="211"/>
      <c r="E276" s="338">
        <f>G276+R276</f>
        <v>50</v>
      </c>
      <c r="F276" s="212">
        <f t="shared" si="155"/>
        <v>5</v>
      </c>
      <c r="G276" s="213">
        <f>H276+P276+Q276</f>
        <v>50</v>
      </c>
      <c r="H276" s="213">
        <f>J276+M276</f>
        <v>50</v>
      </c>
      <c r="I276" s="213"/>
      <c r="J276" s="213"/>
      <c r="K276" s="213"/>
      <c r="L276" s="213"/>
      <c r="M276" s="213">
        <f t="shared" si="162"/>
        <v>50</v>
      </c>
      <c r="N276" s="213"/>
      <c r="O276" s="213">
        <v>50</v>
      </c>
      <c r="P276" s="213"/>
      <c r="Q276" s="213"/>
      <c r="R276" s="213"/>
      <c r="S276" s="444"/>
    </row>
    <row r="277" spans="1:19" s="183" customFormat="1" ht="40.5" customHeight="1">
      <c r="A277" s="209" t="s">
        <v>257</v>
      </c>
      <c r="B277" s="419" t="s">
        <v>831</v>
      </c>
      <c r="C277" s="406">
        <v>300</v>
      </c>
      <c r="D277" s="211"/>
      <c r="E277" s="338">
        <f>G277+R277</f>
        <v>180</v>
      </c>
      <c r="F277" s="212">
        <f t="shared" si="155"/>
        <v>-120</v>
      </c>
      <c r="G277" s="213">
        <f>H277+P277+Q277</f>
        <v>180</v>
      </c>
      <c r="H277" s="213">
        <f>J277+M277</f>
        <v>180</v>
      </c>
      <c r="I277" s="213"/>
      <c r="J277" s="213">
        <f t="shared" si="153"/>
        <v>0</v>
      </c>
      <c r="K277" s="213"/>
      <c r="L277" s="213"/>
      <c r="M277" s="213">
        <f t="shared" si="162"/>
        <v>180</v>
      </c>
      <c r="N277" s="213"/>
      <c r="O277" s="213">
        <v>180</v>
      </c>
      <c r="P277" s="213"/>
      <c r="Q277" s="213"/>
      <c r="R277" s="213"/>
      <c r="S277" s="406"/>
    </row>
    <row r="278" spans="1:19" s="183" customFormat="1" ht="17.25" customHeight="1">
      <c r="A278" s="209" t="s">
        <v>206</v>
      </c>
      <c r="B278" s="210" t="s">
        <v>444</v>
      </c>
      <c r="C278" s="406">
        <f>SUM(C279:C285)</f>
        <v>845.42599999999993</v>
      </c>
      <c r="D278" s="211"/>
      <c r="E278" s="338">
        <f t="shared" ref="E278:R278" si="169">SUM(E279:E285)</f>
        <v>962.8069999999999</v>
      </c>
      <c r="F278" s="212">
        <f t="shared" si="155"/>
        <v>117.38099999999997</v>
      </c>
      <c r="G278" s="213">
        <f t="shared" si="169"/>
        <v>962.8069999999999</v>
      </c>
      <c r="H278" s="213">
        <f t="shared" si="169"/>
        <v>962.8069999999999</v>
      </c>
      <c r="I278" s="213">
        <f t="shared" si="169"/>
        <v>6</v>
      </c>
      <c r="J278" s="213">
        <f t="shared" si="169"/>
        <v>769.60699999999997</v>
      </c>
      <c r="K278" s="213">
        <f t="shared" si="169"/>
        <v>0</v>
      </c>
      <c r="L278" s="213">
        <f t="shared" si="169"/>
        <v>0</v>
      </c>
      <c r="M278" s="213">
        <f t="shared" si="169"/>
        <v>193.20000000000002</v>
      </c>
      <c r="N278" s="213">
        <f t="shared" si="169"/>
        <v>173.20000000000002</v>
      </c>
      <c r="O278" s="213">
        <f t="shared" si="169"/>
        <v>20</v>
      </c>
      <c r="P278" s="213">
        <f t="shared" si="169"/>
        <v>0</v>
      </c>
      <c r="Q278" s="213">
        <f t="shared" si="169"/>
        <v>0</v>
      </c>
      <c r="R278" s="213">
        <f t="shared" si="169"/>
        <v>0</v>
      </c>
      <c r="S278" s="406" t="s">
        <v>445</v>
      </c>
    </row>
    <row r="279" spans="1:19" s="183" customFormat="1" ht="17.25" customHeight="1">
      <c r="A279" s="209" t="s">
        <v>257</v>
      </c>
      <c r="B279" s="210" t="s">
        <v>556</v>
      </c>
      <c r="C279" s="406">
        <v>676.226</v>
      </c>
      <c r="D279" s="211"/>
      <c r="E279" s="338">
        <f t="shared" ref="E279:E285" si="170">G279+R279</f>
        <v>769.60699999999997</v>
      </c>
      <c r="F279" s="212">
        <f t="shared" si="155"/>
        <v>93.380999999999972</v>
      </c>
      <c r="G279" s="213">
        <f t="shared" ref="G279:G285" si="171">H279+P279+Q279</f>
        <v>769.60699999999997</v>
      </c>
      <c r="H279" s="213">
        <f t="shared" ref="H279:H285" si="172">J279+M279</f>
        <v>769.60699999999997</v>
      </c>
      <c r="I279" s="213">
        <v>6</v>
      </c>
      <c r="J279" s="213">
        <f>769.607</f>
        <v>769.60699999999997</v>
      </c>
      <c r="K279" s="213"/>
      <c r="L279" s="213"/>
      <c r="M279" s="213">
        <f t="shared" si="162"/>
        <v>0</v>
      </c>
      <c r="N279" s="213"/>
      <c r="O279" s="213">
        <v>0</v>
      </c>
      <c r="P279" s="213"/>
      <c r="Q279" s="213"/>
      <c r="R279" s="213"/>
      <c r="S279" s="406"/>
    </row>
    <row r="280" spans="1:19" s="183" customFormat="1" ht="17.25" customHeight="1">
      <c r="A280" s="209" t="s">
        <v>257</v>
      </c>
      <c r="B280" s="210" t="s">
        <v>674</v>
      </c>
      <c r="C280" s="406">
        <v>124.8</v>
      </c>
      <c r="D280" s="211"/>
      <c r="E280" s="338">
        <f t="shared" si="170"/>
        <v>163.80000000000001</v>
      </c>
      <c r="F280" s="212">
        <f t="shared" si="155"/>
        <v>39.000000000000014</v>
      </c>
      <c r="G280" s="213">
        <f t="shared" si="171"/>
        <v>163.80000000000001</v>
      </c>
      <c r="H280" s="213">
        <f t="shared" si="172"/>
        <v>163.80000000000001</v>
      </c>
      <c r="I280" s="213"/>
      <c r="J280" s="213">
        <f t="shared" si="153"/>
        <v>0</v>
      </c>
      <c r="K280" s="213"/>
      <c r="L280" s="213"/>
      <c r="M280" s="213">
        <f t="shared" si="162"/>
        <v>163.80000000000001</v>
      </c>
      <c r="N280" s="213">
        <f>7*18*1.3</f>
        <v>163.80000000000001</v>
      </c>
      <c r="O280" s="213">
        <v>0</v>
      </c>
      <c r="P280" s="213">
        <v>0</v>
      </c>
      <c r="Q280" s="213">
        <v>0</v>
      </c>
      <c r="R280" s="213"/>
      <c r="S280" s="406"/>
    </row>
    <row r="281" spans="1:19" s="183" customFormat="1" ht="29.25" customHeight="1">
      <c r="A281" s="209" t="s">
        <v>257</v>
      </c>
      <c r="B281" s="215" t="s">
        <v>292</v>
      </c>
      <c r="C281" s="406">
        <v>9.4</v>
      </c>
      <c r="D281" s="211"/>
      <c r="E281" s="338">
        <f t="shared" si="170"/>
        <v>9.4</v>
      </c>
      <c r="F281" s="212">
        <f t="shared" si="155"/>
        <v>0</v>
      </c>
      <c r="G281" s="213">
        <f t="shared" si="171"/>
        <v>9.4</v>
      </c>
      <c r="H281" s="213">
        <f t="shared" si="172"/>
        <v>9.4</v>
      </c>
      <c r="I281" s="213"/>
      <c r="J281" s="213">
        <f t="shared" si="153"/>
        <v>0</v>
      </c>
      <c r="K281" s="213"/>
      <c r="L281" s="213"/>
      <c r="M281" s="213">
        <f t="shared" si="162"/>
        <v>9.4</v>
      </c>
      <c r="N281" s="213">
        <v>9.4</v>
      </c>
      <c r="O281" s="213">
        <v>0</v>
      </c>
      <c r="P281" s="213"/>
      <c r="Q281" s="213"/>
      <c r="R281" s="213"/>
      <c r="S281" s="406"/>
    </row>
    <row r="282" spans="1:19" s="183" customFormat="1" ht="18.75" customHeight="1">
      <c r="A282" s="209" t="s">
        <v>257</v>
      </c>
      <c r="B282" s="215" t="s">
        <v>319</v>
      </c>
      <c r="C282" s="406"/>
      <c r="D282" s="211"/>
      <c r="E282" s="338">
        <f t="shared" si="170"/>
        <v>0</v>
      </c>
      <c r="F282" s="212">
        <f t="shared" si="155"/>
        <v>0</v>
      </c>
      <c r="G282" s="213">
        <f t="shared" si="171"/>
        <v>0</v>
      </c>
      <c r="H282" s="213">
        <f t="shared" si="172"/>
        <v>0</v>
      </c>
      <c r="I282" s="213"/>
      <c r="J282" s="213">
        <f t="shared" si="153"/>
        <v>0</v>
      </c>
      <c r="K282" s="213"/>
      <c r="L282" s="213"/>
      <c r="M282" s="213">
        <f>N282+O282</f>
        <v>0</v>
      </c>
      <c r="N282" s="213"/>
      <c r="O282" s="213">
        <v>0</v>
      </c>
      <c r="P282" s="213"/>
      <c r="Q282" s="213"/>
      <c r="R282" s="213"/>
      <c r="S282" s="406"/>
    </row>
    <row r="283" spans="1:19" s="183" customFormat="1" ht="17.25" customHeight="1">
      <c r="A283" s="209" t="s">
        <v>257</v>
      </c>
      <c r="B283" s="210" t="s">
        <v>446</v>
      </c>
      <c r="C283" s="406">
        <v>20</v>
      </c>
      <c r="D283" s="211"/>
      <c r="E283" s="338">
        <f t="shared" si="170"/>
        <v>20</v>
      </c>
      <c r="F283" s="212">
        <f t="shared" si="155"/>
        <v>0</v>
      </c>
      <c r="G283" s="213">
        <f t="shared" si="171"/>
        <v>20</v>
      </c>
      <c r="H283" s="213">
        <f t="shared" si="172"/>
        <v>20</v>
      </c>
      <c r="I283" s="213"/>
      <c r="J283" s="213">
        <f t="shared" si="153"/>
        <v>0</v>
      </c>
      <c r="K283" s="213"/>
      <c r="L283" s="213"/>
      <c r="M283" s="213">
        <f>N283+O283</f>
        <v>20</v>
      </c>
      <c r="N283" s="213"/>
      <c r="O283" s="213">
        <v>20</v>
      </c>
      <c r="P283" s="213"/>
      <c r="Q283" s="213"/>
      <c r="R283" s="213"/>
      <c r="S283" s="406"/>
    </row>
    <row r="284" spans="1:19" s="183" customFormat="1" ht="17.25" customHeight="1">
      <c r="A284" s="209" t="s">
        <v>257</v>
      </c>
      <c r="B284" s="210" t="s">
        <v>447</v>
      </c>
      <c r="C284" s="406">
        <v>15</v>
      </c>
      <c r="D284" s="211"/>
      <c r="E284" s="338">
        <f t="shared" si="170"/>
        <v>0</v>
      </c>
      <c r="F284" s="212">
        <f t="shared" si="155"/>
        <v>-15</v>
      </c>
      <c r="G284" s="213">
        <f t="shared" si="171"/>
        <v>0</v>
      </c>
      <c r="H284" s="213">
        <f t="shared" si="172"/>
        <v>0</v>
      </c>
      <c r="I284" s="213"/>
      <c r="J284" s="213">
        <f>K284+L284</f>
        <v>0</v>
      </c>
      <c r="K284" s="213"/>
      <c r="L284" s="213"/>
      <c r="M284" s="213">
        <f>N284+O284</f>
        <v>0</v>
      </c>
      <c r="N284" s="213"/>
      <c r="O284" s="213"/>
      <c r="P284" s="213"/>
      <c r="Q284" s="213"/>
      <c r="R284" s="213"/>
      <c r="S284" s="406"/>
    </row>
    <row r="285" spans="1:19" s="183" customFormat="1" ht="17.25" customHeight="1">
      <c r="A285" s="209" t="s">
        <v>257</v>
      </c>
      <c r="B285" s="210" t="s">
        <v>774</v>
      </c>
      <c r="C285" s="406"/>
      <c r="D285" s="211"/>
      <c r="E285" s="338">
        <f t="shared" si="170"/>
        <v>0</v>
      </c>
      <c r="F285" s="212">
        <f t="shared" si="155"/>
        <v>0</v>
      </c>
      <c r="G285" s="213">
        <f t="shared" si="171"/>
        <v>0</v>
      </c>
      <c r="H285" s="213">
        <f t="shared" si="172"/>
        <v>0</v>
      </c>
      <c r="I285" s="213"/>
      <c r="J285" s="213">
        <f t="shared" si="153"/>
        <v>0</v>
      </c>
      <c r="K285" s="213"/>
      <c r="L285" s="213"/>
      <c r="M285" s="213">
        <f t="shared" si="162"/>
        <v>0</v>
      </c>
      <c r="N285" s="213"/>
      <c r="O285" s="213"/>
      <c r="P285" s="213"/>
      <c r="Q285" s="213"/>
      <c r="R285" s="213"/>
      <c r="S285" s="406"/>
    </row>
    <row r="286" spans="1:19" s="183" customFormat="1" ht="17.25" customHeight="1">
      <c r="A286" s="209" t="s">
        <v>208</v>
      </c>
      <c r="B286" s="210" t="s">
        <v>449</v>
      </c>
      <c r="C286" s="406">
        <f t="shared" ref="C286:R286" si="173">SUM(C287:C292)</f>
        <v>780.86799999999994</v>
      </c>
      <c r="D286" s="211"/>
      <c r="E286" s="338">
        <f>SUM(E287:E292)</f>
        <v>951.72799999999995</v>
      </c>
      <c r="F286" s="212">
        <f t="shared" si="155"/>
        <v>170.86</v>
      </c>
      <c r="G286" s="213">
        <f t="shared" si="173"/>
        <v>951.72799999999995</v>
      </c>
      <c r="H286" s="213">
        <f t="shared" si="173"/>
        <v>951.72799999999995</v>
      </c>
      <c r="I286" s="213">
        <f t="shared" si="173"/>
        <v>6</v>
      </c>
      <c r="J286" s="213">
        <f t="shared" si="173"/>
        <v>799.82799999999997</v>
      </c>
      <c r="K286" s="213">
        <f t="shared" si="173"/>
        <v>0</v>
      </c>
      <c r="L286" s="213">
        <f t="shared" si="173"/>
        <v>0</v>
      </c>
      <c r="M286" s="213">
        <f t="shared" si="173"/>
        <v>151.9</v>
      </c>
      <c r="N286" s="213">
        <f t="shared" si="173"/>
        <v>151.9</v>
      </c>
      <c r="O286" s="213">
        <f t="shared" si="173"/>
        <v>0</v>
      </c>
      <c r="P286" s="213">
        <f t="shared" si="173"/>
        <v>0</v>
      </c>
      <c r="Q286" s="213">
        <f t="shared" si="173"/>
        <v>0</v>
      </c>
      <c r="R286" s="213">
        <f t="shared" si="173"/>
        <v>0</v>
      </c>
      <c r="S286" s="406" t="s">
        <v>449</v>
      </c>
    </row>
    <row r="287" spans="1:19" s="183" customFormat="1" ht="17.25" customHeight="1">
      <c r="A287" s="209" t="s">
        <v>257</v>
      </c>
      <c r="B287" s="210" t="s">
        <v>450</v>
      </c>
      <c r="C287" s="406">
        <v>633.84</v>
      </c>
      <c r="D287" s="211"/>
      <c r="E287" s="338">
        <f t="shared" ref="E287:E292" si="174">G287+R287</f>
        <v>789.1</v>
      </c>
      <c r="F287" s="212">
        <f t="shared" si="155"/>
        <v>155.26</v>
      </c>
      <c r="G287" s="213">
        <f t="shared" ref="G287:G292" si="175">H287+P287+Q287</f>
        <v>789.1</v>
      </c>
      <c r="H287" s="213">
        <f t="shared" ref="H287:H292" si="176">J287+M287</f>
        <v>789.1</v>
      </c>
      <c r="I287" s="213">
        <v>6</v>
      </c>
      <c r="J287" s="213">
        <v>789.1</v>
      </c>
      <c r="K287" s="213"/>
      <c r="L287" s="213"/>
      <c r="M287" s="213">
        <f t="shared" si="162"/>
        <v>0</v>
      </c>
      <c r="N287" s="213"/>
      <c r="O287" s="213">
        <v>0</v>
      </c>
      <c r="P287" s="213"/>
      <c r="Q287" s="213"/>
      <c r="R287" s="213"/>
      <c r="S287" s="406"/>
    </row>
    <row r="288" spans="1:19" s="183" customFormat="1" ht="17.25" customHeight="1">
      <c r="A288" s="209" t="s">
        <v>257</v>
      </c>
      <c r="B288" s="210" t="s">
        <v>659</v>
      </c>
      <c r="C288" s="406">
        <v>124.8</v>
      </c>
      <c r="D288" s="211"/>
      <c r="E288" s="338">
        <f t="shared" si="174"/>
        <v>140.4</v>
      </c>
      <c r="F288" s="212">
        <f t="shared" si="155"/>
        <v>15.600000000000009</v>
      </c>
      <c r="G288" s="213">
        <f t="shared" si="175"/>
        <v>140.4</v>
      </c>
      <c r="H288" s="213">
        <f t="shared" si="176"/>
        <v>140.4</v>
      </c>
      <c r="I288" s="213"/>
      <c r="J288" s="213">
        <f t="shared" si="153"/>
        <v>0</v>
      </c>
      <c r="K288" s="213"/>
      <c r="L288" s="213"/>
      <c r="M288" s="213">
        <f t="shared" si="162"/>
        <v>140.4</v>
      </c>
      <c r="N288" s="213">
        <f>6*18*1.3</f>
        <v>140.4</v>
      </c>
      <c r="O288" s="213">
        <v>0</v>
      </c>
      <c r="P288" s="213">
        <v>0</v>
      </c>
      <c r="Q288" s="213">
        <v>0</v>
      </c>
      <c r="R288" s="213">
        <v>0</v>
      </c>
      <c r="S288" s="406"/>
    </row>
    <row r="289" spans="1:19" s="183" customFormat="1" ht="17.25" customHeight="1">
      <c r="A289" s="209" t="s">
        <v>257</v>
      </c>
      <c r="B289" s="210" t="s">
        <v>407</v>
      </c>
      <c r="C289" s="406">
        <v>10.728</v>
      </c>
      <c r="D289" s="211"/>
      <c r="E289" s="338">
        <f t="shared" si="174"/>
        <v>10.728</v>
      </c>
      <c r="F289" s="212">
        <f t="shared" si="155"/>
        <v>0</v>
      </c>
      <c r="G289" s="213">
        <f t="shared" si="175"/>
        <v>10.728</v>
      </c>
      <c r="H289" s="213">
        <f t="shared" si="176"/>
        <v>10.728</v>
      </c>
      <c r="I289" s="213"/>
      <c r="J289" s="213">
        <f>5.364*2</f>
        <v>10.728</v>
      </c>
      <c r="K289" s="213"/>
      <c r="L289" s="213"/>
      <c r="M289" s="213">
        <f t="shared" si="162"/>
        <v>0</v>
      </c>
      <c r="N289" s="213"/>
      <c r="O289" s="213">
        <v>0</v>
      </c>
      <c r="P289" s="213"/>
      <c r="Q289" s="213"/>
      <c r="R289" s="213"/>
      <c r="S289" s="406"/>
    </row>
    <row r="290" spans="1:19" s="183" customFormat="1" ht="25.5" customHeight="1">
      <c r="A290" s="209" t="s">
        <v>257</v>
      </c>
      <c r="B290" s="215" t="s">
        <v>292</v>
      </c>
      <c r="C290" s="406">
        <v>11.5</v>
      </c>
      <c r="D290" s="211"/>
      <c r="E290" s="338">
        <f t="shared" si="174"/>
        <v>11.5</v>
      </c>
      <c r="F290" s="212">
        <f t="shared" si="155"/>
        <v>0</v>
      </c>
      <c r="G290" s="213">
        <f t="shared" si="175"/>
        <v>11.5</v>
      </c>
      <c r="H290" s="213">
        <f t="shared" si="176"/>
        <v>11.5</v>
      </c>
      <c r="I290" s="213"/>
      <c r="J290" s="213">
        <f t="shared" si="153"/>
        <v>0</v>
      </c>
      <c r="K290" s="213"/>
      <c r="L290" s="213"/>
      <c r="M290" s="213">
        <f t="shared" si="162"/>
        <v>11.5</v>
      </c>
      <c r="N290" s="213">
        <v>11.5</v>
      </c>
      <c r="O290" s="213">
        <v>0</v>
      </c>
      <c r="P290" s="213"/>
      <c r="Q290" s="213"/>
      <c r="R290" s="213"/>
      <c r="S290" s="406"/>
    </row>
    <row r="291" spans="1:19" s="183" customFormat="1" ht="18.75" customHeight="1">
      <c r="A291" s="209" t="s">
        <v>257</v>
      </c>
      <c r="B291" s="215" t="s">
        <v>319</v>
      </c>
      <c r="C291" s="406"/>
      <c r="D291" s="211"/>
      <c r="E291" s="338">
        <f t="shared" si="174"/>
        <v>0</v>
      </c>
      <c r="F291" s="212">
        <f t="shared" si="155"/>
        <v>0</v>
      </c>
      <c r="G291" s="213">
        <f t="shared" si="175"/>
        <v>0</v>
      </c>
      <c r="H291" s="213">
        <f t="shared" si="176"/>
        <v>0</v>
      </c>
      <c r="I291" s="213"/>
      <c r="J291" s="213">
        <f>K291+L291</f>
        <v>0</v>
      </c>
      <c r="K291" s="213"/>
      <c r="L291" s="213"/>
      <c r="M291" s="213">
        <f>N291+O291</f>
        <v>0</v>
      </c>
      <c r="N291" s="213"/>
      <c r="O291" s="213">
        <v>0</v>
      </c>
      <c r="P291" s="213"/>
      <c r="Q291" s="213"/>
      <c r="R291" s="213"/>
      <c r="S291" s="406"/>
    </row>
    <row r="292" spans="1:19" s="183" customFormat="1" ht="18.75" customHeight="1">
      <c r="A292" s="209" t="s">
        <v>257</v>
      </c>
      <c r="B292" s="210" t="s">
        <v>448</v>
      </c>
      <c r="C292" s="406"/>
      <c r="D292" s="211"/>
      <c r="E292" s="338">
        <f t="shared" si="174"/>
        <v>0</v>
      </c>
      <c r="F292" s="212">
        <f t="shared" si="155"/>
        <v>0</v>
      </c>
      <c r="G292" s="213">
        <f t="shared" si="175"/>
        <v>0</v>
      </c>
      <c r="H292" s="213">
        <f t="shared" si="176"/>
        <v>0</v>
      </c>
      <c r="I292" s="213"/>
      <c r="J292" s="213">
        <f t="shared" si="153"/>
        <v>0</v>
      </c>
      <c r="K292" s="213"/>
      <c r="L292" s="213"/>
      <c r="M292" s="213">
        <f>N292+O292</f>
        <v>0</v>
      </c>
      <c r="N292" s="213"/>
      <c r="O292" s="213">
        <v>0</v>
      </c>
      <c r="P292" s="213"/>
      <c r="Q292" s="213"/>
      <c r="R292" s="213"/>
      <c r="S292" s="406"/>
    </row>
    <row r="293" spans="1:19" s="183" customFormat="1" ht="17.25" customHeight="1">
      <c r="A293" s="209" t="s">
        <v>209</v>
      </c>
      <c r="B293" s="210" t="s">
        <v>451</v>
      </c>
      <c r="C293" s="406">
        <f>C294+C299</f>
        <v>750.78800000000001</v>
      </c>
      <c r="D293" s="211"/>
      <c r="E293" s="338">
        <f>E294+E299</f>
        <v>889.27</v>
      </c>
      <c r="F293" s="212">
        <f t="shared" si="155"/>
        <v>138.48199999999997</v>
      </c>
      <c r="G293" s="213">
        <f t="shared" ref="G293:R293" si="177">G294+G299</f>
        <v>889.27</v>
      </c>
      <c r="H293" s="213">
        <f t="shared" si="177"/>
        <v>889.27</v>
      </c>
      <c r="I293" s="213">
        <f t="shared" si="177"/>
        <v>4</v>
      </c>
      <c r="J293" s="213">
        <f t="shared" si="177"/>
        <v>648.27</v>
      </c>
      <c r="K293" s="213">
        <f t="shared" si="177"/>
        <v>0</v>
      </c>
      <c r="L293" s="213">
        <f t="shared" si="177"/>
        <v>0</v>
      </c>
      <c r="M293" s="213">
        <f t="shared" si="177"/>
        <v>241</v>
      </c>
      <c r="N293" s="213">
        <f t="shared" si="177"/>
        <v>151</v>
      </c>
      <c r="O293" s="213">
        <f t="shared" si="177"/>
        <v>90</v>
      </c>
      <c r="P293" s="213">
        <f t="shared" si="177"/>
        <v>0</v>
      </c>
      <c r="Q293" s="213">
        <f t="shared" si="177"/>
        <v>0</v>
      </c>
      <c r="R293" s="213">
        <f t="shared" si="177"/>
        <v>0</v>
      </c>
      <c r="S293" s="406" t="s">
        <v>451</v>
      </c>
    </row>
    <row r="294" spans="1:19" s="228" customFormat="1" ht="17.25" customHeight="1">
      <c r="A294" s="209" t="s">
        <v>452</v>
      </c>
      <c r="B294" s="210" t="s">
        <v>453</v>
      </c>
      <c r="C294" s="406">
        <f>SUM(C295:C298)</f>
        <v>640.78800000000001</v>
      </c>
      <c r="D294" s="211"/>
      <c r="E294" s="338">
        <f>SUM(E295:E298)</f>
        <v>774.27</v>
      </c>
      <c r="F294" s="212">
        <f t="shared" si="155"/>
        <v>133.48199999999997</v>
      </c>
      <c r="G294" s="213">
        <f t="shared" ref="G294:R294" si="178">SUM(G295:G298)</f>
        <v>774.27</v>
      </c>
      <c r="H294" s="213">
        <f t="shared" si="178"/>
        <v>774.27</v>
      </c>
      <c r="I294" s="213">
        <f t="shared" si="178"/>
        <v>4</v>
      </c>
      <c r="J294" s="213">
        <f t="shared" si="178"/>
        <v>648.27</v>
      </c>
      <c r="K294" s="213">
        <f t="shared" si="178"/>
        <v>0</v>
      </c>
      <c r="L294" s="213">
        <f t="shared" si="178"/>
        <v>0</v>
      </c>
      <c r="M294" s="213">
        <f t="shared" si="178"/>
        <v>126</v>
      </c>
      <c r="N294" s="213">
        <f t="shared" si="178"/>
        <v>126</v>
      </c>
      <c r="O294" s="213">
        <f t="shared" si="178"/>
        <v>0</v>
      </c>
      <c r="P294" s="213">
        <f t="shared" si="178"/>
        <v>0</v>
      </c>
      <c r="Q294" s="213">
        <f t="shared" si="178"/>
        <v>0</v>
      </c>
      <c r="R294" s="213">
        <f t="shared" si="178"/>
        <v>0</v>
      </c>
      <c r="S294" s="406"/>
    </row>
    <row r="295" spans="1:19" s="183" customFormat="1" ht="17.25" customHeight="1">
      <c r="A295" s="209" t="s">
        <v>257</v>
      </c>
      <c r="B295" s="210" t="s">
        <v>559</v>
      </c>
      <c r="C295" s="406">
        <v>527.46</v>
      </c>
      <c r="D295" s="211"/>
      <c r="E295" s="338">
        <f t="shared" ref="E295:E298" si="179">G295+R295</f>
        <v>637.54</v>
      </c>
      <c r="F295" s="212">
        <f t="shared" si="155"/>
        <v>110.07999999999993</v>
      </c>
      <c r="G295" s="213">
        <f t="shared" ref="G295:G298" si="180">H295+P295+Q295</f>
        <v>637.54</v>
      </c>
      <c r="H295" s="213">
        <f t="shared" ref="H295:H298" si="181">J295+M295</f>
        <v>637.54</v>
      </c>
      <c r="I295" s="213">
        <v>4</v>
      </c>
      <c r="J295" s="213">
        <v>637.54</v>
      </c>
      <c r="K295" s="213"/>
      <c r="L295" s="213"/>
      <c r="M295" s="213">
        <f t="shared" si="162"/>
        <v>0</v>
      </c>
      <c r="N295" s="213"/>
      <c r="O295" s="213">
        <v>0</v>
      </c>
      <c r="P295" s="213"/>
      <c r="Q295" s="213">
        <v>0</v>
      </c>
      <c r="R295" s="213"/>
      <c r="S295" s="406"/>
    </row>
    <row r="296" spans="1:19" s="183" customFormat="1" ht="15.75" customHeight="1">
      <c r="A296" s="209" t="s">
        <v>257</v>
      </c>
      <c r="B296" s="210" t="s">
        <v>660</v>
      </c>
      <c r="C296" s="406">
        <v>93.6</v>
      </c>
      <c r="D296" s="211"/>
      <c r="E296" s="338">
        <f t="shared" si="179"/>
        <v>117</v>
      </c>
      <c r="F296" s="212">
        <f t="shared" si="155"/>
        <v>23.400000000000006</v>
      </c>
      <c r="G296" s="213">
        <f t="shared" si="180"/>
        <v>117</v>
      </c>
      <c r="H296" s="213">
        <f t="shared" si="181"/>
        <v>117</v>
      </c>
      <c r="I296" s="213"/>
      <c r="J296" s="213">
        <f t="shared" si="153"/>
        <v>0</v>
      </c>
      <c r="K296" s="213"/>
      <c r="L296" s="213"/>
      <c r="M296" s="213">
        <f t="shared" si="162"/>
        <v>117</v>
      </c>
      <c r="N296" s="213">
        <f>5*18*1.3</f>
        <v>117</v>
      </c>
      <c r="O296" s="213">
        <v>0</v>
      </c>
      <c r="P296" s="213">
        <v>0</v>
      </c>
      <c r="Q296" s="213">
        <v>0</v>
      </c>
      <c r="R296" s="213">
        <v>0</v>
      </c>
      <c r="S296" s="406"/>
    </row>
    <row r="297" spans="1:19" s="183" customFormat="1" ht="17.25" customHeight="1">
      <c r="A297" s="209" t="s">
        <v>257</v>
      </c>
      <c r="B297" s="210" t="s">
        <v>454</v>
      </c>
      <c r="C297" s="406">
        <v>10.728</v>
      </c>
      <c r="D297" s="211"/>
      <c r="E297" s="338">
        <f t="shared" si="179"/>
        <v>10.73</v>
      </c>
      <c r="F297" s="212">
        <f t="shared" si="155"/>
        <v>2.0000000000006679E-3</v>
      </c>
      <c r="G297" s="213">
        <f t="shared" si="180"/>
        <v>10.73</v>
      </c>
      <c r="H297" s="213">
        <f t="shared" si="181"/>
        <v>10.73</v>
      </c>
      <c r="I297" s="213"/>
      <c r="J297" s="213">
        <v>10.73</v>
      </c>
      <c r="K297" s="213"/>
      <c r="L297" s="213"/>
      <c r="M297" s="213">
        <f>N297+O297</f>
        <v>0</v>
      </c>
      <c r="N297" s="213"/>
      <c r="O297" s="213">
        <v>0</v>
      </c>
      <c r="P297" s="213"/>
      <c r="Q297" s="213"/>
      <c r="R297" s="213"/>
      <c r="S297" s="406"/>
    </row>
    <row r="298" spans="1:19" s="183" customFormat="1" ht="24.75" customHeight="1">
      <c r="A298" s="209" t="s">
        <v>257</v>
      </c>
      <c r="B298" s="215" t="s">
        <v>292</v>
      </c>
      <c r="C298" s="406">
        <v>9</v>
      </c>
      <c r="D298" s="211"/>
      <c r="E298" s="338">
        <f t="shared" si="179"/>
        <v>9</v>
      </c>
      <c r="F298" s="212">
        <f t="shared" si="155"/>
        <v>0</v>
      </c>
      <c r="G298" s="213">
        <f t="shared" si="180"/>
        <v>9</v>
      </c>
      <c r="H298" s="213">
        <f t="shared" si="181"/>
        <v>9</v>
      </c>
      <c r="I298" s="213"/>
      <c r="J298" s="213">
        <f t="shared" si="153"/>
        <v>0</v>
      </c>
      <c r="K298" s="213"/>
      <c r="L298" s="213"/>
      <c r="M298" s="213">
        <f t="shared" si="162"/>
        <v>9</v>
      </c>
      <c r="N298" s="213">
        <v>9</v>
      </c>
      <c r="O298" s="213">
        <v>0</v>
      </c>
      <c r="P298" s="213"/>
      <c r="Q298" s="213"/>
      <c r="R298" s="213"/>
      <c r="S298" s="406"/>
    </row>
    <row r="299" spans="1:19" s="228" customFormat="1" ht="17.25" customHeight="1">
      <c r="A299" s="209" t="s">
        <v>455</v>
      </c>
      <c r="B299" s="210" t="s">
        <v>456</v>
      </c>
      <c r="C299" s="406">
        <f>SUM(C300:C303)</f>
        <v>110</v>
      </c>
      <c r="D299" s="211"/>
      <c r="E299" s="338">
        <f t="shared" ref="E299:K299" si="182">SUM(E300:E303)</f>
        <v>115</v>
      </c>
      <c r="F299" s="212">
        <f t="shared" si="155"/>
        <v>5</v>
      </c>
      <c r="G299" s="213">
        <f t="shared" si="182"/>
        <v>115</v>
      </c>
      <c r="H299" s="213">
        <f t="shared" si="182"/>
        <v>115</v>
      </c>
      <c r="I299" s="213">
        <f t="shared" si="182"/>
        <v>0</v>
      </c>
      <c r="J299" s="213">
        <f t="shared" si="182"/>
        <v>0</v>
      </c>
      <c r="K299" s="213">
        <f t="shared" si="182"/>
        <v>0</v>
      </c>
      <c r="L299" s="213"/>
      <c r="M299" s="213">
        <f t="shared" ref="M299:R299" si="183">SUM(M300:M303)</f>
        <v>115</v>
      </c>
      <c r="N299" s="213">
        <f t="shared" si="183"/>
        <v>25</v>
      </c>
      <c r="O299" s="213">
        <f t="shared" si="183"/>
        <v>90</v>
      </c>
      <c r="P299" s="213">
        <f t="shared" si="183"/>
        <v>0</v>
      </c>
      <c r="Q299" s="213">
        <f t="shared" si="183"/>
        <v>0</v>
      </c>
      <c r="R299" s="213">
        <f t="shared" si="183"/>
        <v>0</v>
      </c>
      <c r="S299" s="406"/>
    </row>
    <row r="300" spans="1:19" s="183" customFormat="1" ht="17.25" customHeight="1">
      <c r="A300" s="209" t="s">
        <v>257</v>
      </c>
      <c r="B300" s="210" t="s">
        <v>796</v>
      </c>
      <c r="C300" s="406">
        <v>20</v>
      </c>
      <c r="D300" s="211"/>
      <c r="E300" s="338">
        <f>G300+R300</f>
        <v>25</v>
      </c>
      <c r="F300" s="212">
        <f t="shared" si="155"/>
        <v>5</v>
      </c>
      <c r="G300" s="213">
        <f>H300+P300+Q300</f>
        <v>25</v>
      </c>
      <c r="H300" s="213">
        <f>J300+M300</f>
        <v>25</v>
      </c>
      <c r="I300" s="213"/>
      <c r="J300" s="213">
        <f>K300+L300</f>
        <v>0</v>
      </c>
      <c r="K300" s="213"/>
      <c r="L300" s="213"/>
      <c r="M300" s="213">
        <f>N300+O300</f>
        <v>25</v>
      </c>
      <c r="N300" s="213">
        <v>25</v>
      </c>
      <c r="O300" s="213"/>
      <c r="P300" s="213"/>
      <c r="Q300" s="213"/>
      <c r="R300" s="213"/>
      <c r="S300" s="406"/>
    </row>
    <row r="301" spans="1:19" s="183" customFormat="1" ht="48" customHeight="1">
      <c r="A301" s="209" t="s">
        <v>257</v>
      </c>
      <c r="B301" s="215" t="s">
        <v>457</v>
      </c>
      <c r="C301" s="406">
        <v>60</v>
      </c>
      <c r="D301" s="211"/>
      <c r="E301" s="338">
        <f>G301+R301</f>
        <v>60</v>
      </c>
      <c r="F301" s="212">
        <f t="shared" si="155"/>
        <v>0</v>
      </c>
      <c r="G301" s="213">
        <f>H301+P301+Q301</f>
        <v>60</v>
      </c>
      <c r="H301" s="213">
        <f>J301+M301</f>
        <v>60</v>
      </c>
      <c r="I301" s="213"/>
      <c r="J301" s="213">
        <f>K301+L301</f>
        <v>0</v>
      </c>
      <c r="K301" s="213"/>
      <c r="L301" s="213"/>
      <c r="M301" s="213">
        <f t="shared" si="162"/>
        <v>60</v>
      </c>
      <c r="N301" s="213"/>
      <c r="O301" s="213">
        <v>60</v>
      </c>
      <c r="P301" s="213"/>
      <c r="Q301" s="213"/>
      <c r="R301" s="213"/>
      <c r="S301" s="406"/>
    </row>
    <row r="302" spans="1:19" s="183" customFormat="1" ht="33.75" customHeight="1">
      <c r="A302" s="209" t="s">
        <v>257</v>
      </c>
      <c r="B302" s="215" t="s">
        <v>458</v>
      </c>
      <c r="C302" s="406">
        <v>30</v>
      </c>
      <c r="D302" s="211"/>
      <c r="E302" s="338">
        <f>G302+R302</f>
        <v>30</v>
      </c>
      <c r="F302" s="212">
        <f t="shared" si="155"/>
        <v>0</v>
      </c>
      <c r="G302" s="213">
        <f>H302+P302+Q302</f>
        <v>30</v>
      </c>
      <c r="H302" s="213">
        <f>J302+M302</f>
        <v>30</v>
      </c>
      <c r="I302" s="213"/>
      <c r="J302" s="213">
        <f>K302+L302</f>
        <v>0</v>
      </c>
      <c r="K302" s="213"/>
      <c r="L302" s="213"/>
      <c r="M302" s="213">
        <f t="shared" si="162"/>
        <v>30</v>
      </c>
      <c r="N302" s="213"/>
      <c r="O302" s="213">
        <v>30</v>
      </c>
      <c r="P302" s="213"/>
      <c r="Q302" s="213"/>
      <c r="R302" s="213"/>
      <c r="S302" s="406"/>
    </row>
    <row r="303" spans="1:19" s="183" customFormat="1" ht="33.75" hidden="1" customHeight="1">
      <c r="A303" s="209" t="s">
        <v>257</v>
      </c>
      <c r="B303" s="218" t="s">
        <v>459</v>
      </c>
      <c r="C303" s="406"/>
      <c r="D303" s="211"/>
      <c r="E303" s="338">
        <f>G303+R303</f>
        <v>0</v>
      </c>
      <c r="F303" s="212">
        <f t="shared" si="155"/>
        <v>0</v>
      </c>
      <c r="G303" s="213">
        <f>H303+P303+Q303</f>
        <v>0</v>
      </c>
      <c r="H303" s="213">
        <f>J303+M303</f>
        <v>0</v>
      </c>
      <c r="I303" s="213"/>
      <c r="J303" s="213">
        <f>K303+L303</f>
        <v>0</v>
      </c>
      <c r="K303" s="213"/>
      <c r="L303" s="213"/>
      <c r="M303" s="213">
        <f>N303+O303</f>
        <v>0</v>
      </c>
      <c r="N303" s="213"/>
      <c r="O303" s="213"/>
      <c r="P303" s="213"/>
      <c r="Q303" s="213"/>
      <c r="R303" s="213"/>
      <c r="S303" s="406"/>
    </row>
    <row r="304" spans="1:19" s="183" customFormat="1" ht="17.25" customHeight="1">
      <c r="A304" s="209" t="s">
        <v>216</v>
      </c>
      <c r="B304" s="210" t="s">
        <v>460</v>
      </c>
      <c r="C304" s="406">
        <f>C305+C310</f>
        <v>786.16200000000003</v>
      </c>
      <c r="D304" s="211"/>
      <c r="E304" s="338">
        <f>E305+E310</f>
        <v>912.13</v>
      </c>
      <c r="F304" s="212">
        <f t="shared" si="155"/>
        <v>125.96799999999996</v>
      </c>
      <c r="G304" s="213">
        <f t="shared" ref="G304:R304" si="184">G305+G310</f>
        <v>912.13</v>
      </c>
      <c r="H304" s="213">
        <f t="shared" si="184"/>
        <v>912.13</v>
      </c>
      <c r="I304" s="213">
        <f t="shared" si="184"/>
        <v>3</v>
      </c>
      <c r="J304" s="213">
        <f t="shared" si="184"/>
        <v>321.93</v>
      </c>
      <c r="K304" s="213">
        <f t="shared" si="184"/>
        <v>0</v>
      </c>
      <c r="L304" s="213">
        <f t="shared" si="184"/>
        <v>0</v>
      </c>
      <c r="M304" s="213">
        <f t="shared" si="184"/>
        <v>590.20000000000005</v>
      </c>
      <c r="N304" s="213">
        <f t="shared" si="184"/>
        <v>70.2</v>
      </c>
      <c r="O304" s="213">
        <f t="shared" si="184"/>
        <v>520</v>
      </c>
      <c r="P304" s="213">
        <f t="shared" si="184"/>
        <v>0</v>
      </c>
      <c r="Q304" s="213">
        <f t="shared" si="184"/>
        <v>0</v>
      </c>
      <c r="R304" s="213">
        <f t="shared" si="184"/>
        <v>0</v>
      </c>
      <c r="S304" s="406" t="s">
        <v>460</v>
      </c>
    </row>
    <row r="305" spans="1:19" s="183" customFormat="1" ht="17.25" customHeight="1">
      <c r="A305" s="209" t="s">
        <v>461</v>
      </c>
      <c r="B305" s="210" t="s">
        <v>453</v>
      </c>
      <c r="C305" s="406">
        <f>SUM(C306:C309)</f>
        <v>396.16199999999998</v>
      </c>
      <c r="D305" s="211"/>
      <c r="E305" s="338">
        <f>SUM(E306:E309)</f>
        <v>392.13</v>
      </c>
      <c r="F305" s="212">
        <f t="shared" si="155"/>
        <v>-4.0319999999999823</v>
      </c>
      <c r="G305" s="213">
        <f t="shared" ref="G305:R305" si="185">SUM(G306:G309)</f>
        <v>392.13</v>
      </c>
      <c r="H305" s="213">
        <f t="shared" si="185"/>
        <v>392.13</v>
      </c>
      <c r="I305" s="213">
        <f t="shared" si="185"/>
        <v>3</v>
      </c>
      <c r="J305" s="213">
        <f t="shared" si="185"/>
        <v>321.93</v>
      </c>
      <c r="K305" s="213">
        <f t="shared" si="185"/>
        <v>0</v>
      </c>
      <c r="L305" s="213">
        <f t="shared" si="185"/>
        <v>0</v>
      </c>
      <c r="M305" s="213">
        <f t="shared" si="185"/>
        <v>70.2</v>
      </c>
      <c r="N305" s="213">
        <f t="shared" si="185"/>
        <v>70.2</v>
      </c>
      <c r="O305" s="213">
        <f t="shared" si="185"/>
        <v>0</v>
      </c>
      <c r="P305" s="213">
        <f t="shared" si="185"/>
        <v>0</v>
      </c>
      <c r="Q305" s="213">
        <f t="shared" si="185"/>
        <v>0</v>
      </c>
      <c r="R305" s="213">
        <f t="shared" si="185"/>
        <v>0</v>
      </c>
      <c r="S305" s="406"/>
    </row>
    <row r="306" spans="1:19" s="183" customFormat="1" ht="17.25" customHeight="1">
      <c r="A306" s="209" t="s">
        <v>257</v>
      </c>
      <c r="B306" s="210" t="s">
        <v>462</v>
      </c>
      <c r="C306" s="406">
        <v>320.59800000000001</v>
      </c>
      <c r="D306" s="211"/>
      <c r="E306" s="338">
        <f>G306+R306</f>
        <v>316.57</v>
      </c>
      <c r="F306" s="212">
        <f t="shared" si="155"/>
        <v>-4.02800000000002</v>
      </c>
      <c r="G306" s="213">
        <f>H306+P306+Q306</f>
        <v>316.57</v>
      </c>
      <c r="H306" s="213">
        <f>J306+M306</f>
        <v>316.57</v>
      </c>
      <c r="I306" s="213">
        <v>3</v>
      </c>
      <c r="J306" s="213">
        <v>316.57</v>
      </c>
      <c r="K306" s="213"/>
      <c r="L306" s="213"/>
      <c r="M306" s="213">
        <f t="shared" si="162"/>
        <v>0</v>
      </c>
      <c r="N306" s="213"/>
      <c r="O306" s="213">
        <v>0</v>
      </c>
      <c r="P306" s="213"/>
      <c r="Q306" s="213"/>
      <c r="R306" s="213"/>
      <c r="S306" s="406"/>
    </row>
    <row r="307" spans="1:19" s="183" customFormat="1" ht="17.25" customHeight="1">
      <c r="A307" s="209" t="s">
        <v>257</v>
      </c>
      <c r="B307" s="210" t="s">
        <v>661</v>
      </c>
      <c r="C307" s="406">
        <v>70.2</v>
      </c>
      <c r="D307" s="211"/>
      <c r="E307" s="338">
        <f>G307+R307</f>
        <v>70.2</v>
      </c>
      <c r="F307" s="212">
        <f t="shared" si="155"/>
        <v>0</v>
      </c>
      <c r="G307" s="213">
        <f>H307+P307+Q307</f>
        <v>70.2</v>
      </c>
      <c r="H307" s="213">
        <f>J307+M307</f>
        <v>70.2</v>
      </c>
      <c r="I307" s="213"/>
      <c r="J307" s="213">
        <f>K307+L307</f>
        <v>0</v>
      </c>
      <c r="K307" s="213"/>
      <c r="L307" s="213"/>
      <c r="M307" s="213">
        <f t="shared" si="162"/>
        <v>70.2</v>
      </c>
      <c r="N307" s="213">
        <f>3*18*1.3</f>
        <v>70.2</v>
      </c>
      <c r="O307" s="213">
        <v>0</v>
      </c>
      <c r="P307" s="213">
        <v>0</v>
      </c>
      <c r="Q307" s="213">
        <v>0</v>
      </c>
      <c r="R307" s="213">
        <v>0</v>
      </c>
      <c r="S307" s="406"/>
    </row>
    <row r="308" spans="1:19" s="183" customFormat="1" ht="17.25" customHeight="1">
      <c r="A308" s="209" t="s">
        <v>257</v>
      </c>
      <c r="B308" s="210" t="s">
        <v>463</v>
      </c>
      <c r="C308" s="406">
        <v>5.3639999999999999</v>
      </c>
      <c r="D308" s="211"/>
      <c r="E308" s="338">
        <f>G308+R308</f>
        <v>5.36</v>
      </c>
      <c r="F308" s="212">
        <f t="shared" si="155"/>
        <v>-3.9999999999995595E-3</v>
      </c>
      <c r="G308" s="213">
        <f>H308+P308+Q308</f>
        <v>5.36</v>
      </c>
      <c r="H308" s="213">
        <f>J308+M308</f>
        <v>5.36</v>
      </c>
      <c r="I308" s="213"/>
      <c r="J308" s="213">
        <v>5.36</v>
      </c>
      <c r="K308" s="213"/>
      <c r="L308" s="213"/>
      <c r="M308" s="213">
        <f t="shared" si="162"/>
        <v>0</v>
      </c>
      <c r="N308" s="213"/>
      <c r="O308" s="213">
        <v>0</v>
      </c>
      <c r="P308" s="213"/>
      <c r="Q308" s="213"/>
      <c r="R308" s="213"/>
      <c r="S308" s="406"/>
    </row>
    <row r="309" spans="1:19" s="183" customFormat="1" ht="30" customHeight="1">
      <c r="A309" s="209" t="s">
        <v>257</v>
      </c>
      <c r="B309" s="215" t="s">
        <v>292</v>
      </c>
      <c r="C309" s="406"/>
      <c r="D309" s="211"/>
      <c r="E309" s="338">
        <f>G309+R309</f>
        <v>0</v>
      </c>
      <c r="F309" s="212">
        <f t="shared" si="155"/>
        <v>0</v>
      </c>
      <c r="G309" s="213">
        <f>H309+P309+Q309</f>
        <v>0</v>
      </c>
      <c r="H309" s="213">
        <f>J309+M309</f>
        <v>0</v>
      </c>
      <c r="I309" s="213"/>
      <c r="J309" s="213">
        <f>K309+L309</f>
        <v>0</v>
      </c>
      <c r="K309" s="213"/>
      <c r="L309" s="213"/>
      <c r="M309" s="213">
        <f t="shared" si="162"/>
        <v>0</v>
      </c>
      <c r="N309" s="213"/>
      <c r="O309" s="213">
        <v>0</v>
      </c>
      <c r="P309" s="213"/>
      <c r="Q309" s="213"/>
      <c r="R309" s="213"/>
      <c r="S309" s="406"/>
    </row>
    <row r="310" spans="1:19" s="183" customFormat="1" ht="17.25" customHeight="1">
      <c r="A310" s="209" t="s">
        <v>464</v>
      </c>
      <c r="B310" s="210" t="s">
        <v>456</v>
      </c>
      <c r="C310" s="406">
        <f>SUM(C311:C314)</f>
        <v>390</v>
      </c>
      <c r="D310" s="211"/>
      <c r="E310" s="338">
        <f t="shared" ref="E310:K310" si="186">SUM(E311:E314)</f>
        <v>520</v>
      </c>
      <c r="F310" s="212">
        <f t="shared" si="155"/>
        <v>130</v>
      </c>
      <c r="G310" s="213">
        <f t="shared" si="186"/>
        <v>520</v>
      </c>
      <c r="H310" s="213">
        <f t="shared" si="186"/>
        <v>520</v>
      </c>
      <c r="I310" s="213">
        <f t="shared" si="186"/>
        <v>0</v>
      </c>
      <c r="J310" s="213">
        <f t="shared" si="186"/>
        <v>0</v>
      </c>
      <c r="K310" s="213">
        <f t="shared" si="186"/>
        <v>0</v>
      </c>
      <c r="L310" s="213"/>
      <c r="M310" s="213">
        <f t="shared" ref="M310:R310" si="187">SUM(M311:M314)</f>
        <v>520</v>
      </c>
      <c r="N310" s="213">
        <f t="shared" si="187"/>
        <v>0</v>
      </c>
      <c r="O310" s="213">
        <f t="shared" si="187"/>
        <v>520</v>
      </c>
      <c r="P310" s="213">
        <f t="shared" si="187"/>
        <v>0</v>
      </c>
      <c r="Q310" s="213">
        <f t="shared" si="187"/>
        <v>0</v>
      </c>
      <c r="R310" s="213">
        <f t="shared" si="187"/>
        <v>0</v>
      </c>
      <c r="S310" s="406"/>
    </row>
    <row r="311" spans="1:19" s="183" customFormat="1" ht="35.25" customHeight="1">
      <c r="A311" s="209" t="s">
        <v>257</v>
      </c>
      <c r="B311" s="218" t="s">
        <v>465</v>
      </c>
      <c r="C311" s="406">
        <v>200</v>
      </c>
      <c r="D311" s="211"/>
      <c r="E311" s="338">
        <f>G311+R311</f>
        <v>200</v>
      </c>
      <c r="F311" s="212">
        <f t="shared" si="155"/>
        <v>0</v>
      </c>
      <c r="G311" s="213">
        <f>H311+P311+Q311</f>
        <v>200</v>
      </c>
      <c r="H311" s="213">
        <f>J311+M311</f>
        <v>200</v>
      </c>
      <c r="I311" s="213"/>
      <c r="J311" s="213">
        <f>K311+L311</f>
        <v>0</v>
      </c>
      <c r="K311" s="213"/>
      <c r="L311" s="213"/>
      <c r="M311" s="213">
        <f t="shared" si="162"/>
        <v>200</v>
      </c>
      <c r="N311" s="213"/>
      <c r="O311" s="213">
        <v>200</v>
      </c>
      <c r="P311" s="213"/>
      <c r="Q311" s="213"/>
      <c r="R311" s="213"/>
      <c r="S311" s="406"/>
    </row>
    <row r="312" spans="1:19" s="183" customFormat="1" ht="17.25" customHeight="1">
      <c r="A312" s="209" t="s">
        <v>257</v>
      </c>
      <c r="B312" s="210" t="s">
        <v>466</v>
      </c>
      <c r="C312" s="406">
        <v>20</v>
      </c>
      <c r="D312" s="211"/>
      <c r="E312" s="338">
        <f>G312+R312</f>
        <v>20</v>
      </c>
      <c r="F312" s="212">
        <f t="shared" si="155"/>
        <v>0</v>
      </c>
      <c r="G312" s="213">
        <f>H312+P312+Q312</f>
        <v>20</v>
      </c>
      <c r="H312" s="213">
        <f>J312+M312</f>
        <v>20</v>
      </c>
      <c r="I312" s="213"/>
      <c r="J312" s="213">
        <f>K312+L312</f>
        <v>0</v>
      </c>
      <c r="K312" s="213"/>
      <c r="L312" s="213"/>
      <c r="M312" s="213">
        <f t="shared" si="162"/>
        <v>20</v>
      </c>
      <c r="N312" s="213"/>
      <c r="O312" s="213">
        <v>20</v>
      </c>
      <c r="P312" s="213"/>
      <c r="Q312" s="213"/>
      <c r="R312" s="213"/>
      <c r="S312" s="406"/>
    </row>
    <row r="313" spans="1:19" s="183" customFormat="1" ht="48" customHeight="1">
      <c r="A313" s="209" t="s">
        <v>257</v>
      </c>
      <c r="B313" s="246" t="s">
        <v>467</v>
      </c>
      <c r="C313" s="406">
        <v>100</v>
      </c>
      <c r="D313" s="211"/>
      <c r="E313" s="338">
        <f>G313+R313</f>
        <v>300</v>
      </c>
      <c r="F313" s="212">
        <f t="shared" si="155"/>
        <v>200</v>
      </c>
      <c r="G313" s="213">
        <f>H313+P313+Q313</f>
        <v>300</v>
      </c>
      <c r="H313" s="213">
        <f>J313+M313</f>
        <v>300</v>
      </c>
      <c r="I313" s="213"/>
      <c r="J313" s="213">
        <f>K313+L313</f>
        <v>0</v>
      </c>
      <c r="K313" s="213"/>
      <c r="L313" s="213"/>
      <c r="M313" s="213">
        <f>N313+O313</f>
        <v>300</v>
      </c>
      <c r="N313" s="213"/>
      <c r="O313" s="213">
        <v>300</v>
      </c>
      <c r="P313" s="213"/>
      <c r="Q313" s="213"/>
      <c r="R313" s="213"/>
      <c r="S313" s="406"/>
    </row>
    <row r="314" spans="1:19" s="183" customFormat="1" ht="18.75" customHeight="1">
      <c r="A314" s="209"/>
      <c r="B314" s="218" t="s">
        <v>485</v>
      </c>
      <c r="C314" s="406">
        <v>70</v>
      </c>
      <c r="D314" s="211"/>
      <c r="E314" s="338">
        <f>G314+R314</f>
        <v>0</v>
      </c>
      <c r="F314" s="212">
        <f t="shared" si="155"/>
        <v>-70</v>
      </c>
      <c r="G314" s="213">
        <f>H314+P314+Q314</f>
        <v>0</v>
      </c>
      <c r="H314" s="213">
        <f>J314+M314</f>
        <v>0</v>
      </c>
      <c r="I314" s="213"/>
      <c r="J314" s="213"/>
      <c r="K314" s="213"/>
      <c r="L314" s="213"/>
      <c r="M314" s="213"/>
      <c r="N314" s="213"/>
      <c r="O314" s="213"/>
      <c r="P314" s="213"/>
      <c r="Q314" s="213"/>
      <c r="R314" s="213"/>
      <c r="S314" s="406"/>
    </row>
    <row r="315" spans="1:19" s="183" customFormat="1" ht="17.25" customHeight="1">
      <c r="A315" s="209" t="s">
        <v>217</v>
      </c>
      <c r="B315" s="210" t="s">
        <v>468</v>
      </c>
      <c r="C315" s="406">
        <f>SUM(C316:C323)</f>
        <v>505.65399999999994</v>
      </c>
      <c r="D315" s="406">
        <f>SUM(D316:D323)</f>
        <v>0</v>
      </c>
      <c r="E315" s="338">
        <f>SUM(E316:E323)</f>
        <v>508.34</v>
      </c>
      <c r="F315" s="212">
        <f t="shared" si="155"/>
        <v>2.6860000000000355</v>
      </c>
      <c r="G315" s="406">
        <f t="shared" ref="G315:R315" si="188">SUM(G316:G323)</f>
        <v>508.34</v>
      </c>
      <c r="H315" s="406">
        <f t="shared" si="188"/>
        <v>508.34</v>
      </c>
      <c r="I315" s="406">
        <f t="shared" si="188"/>
        <v>3</v>
      </c>
      <c r="J315" s="406">
        <f t="shared" si="188"/>
        <v>312.64</v>
      </c>
      <c r="K315" s="406">
        <f t="shared" si="188"/>
        <v>0</v>
      </c>
      <c r="L315" s="406">
        <f t="shared" si="188"/>
        <v>0</v>
      </c>
      <c r="M315" s="406">
        <f t="shared" si="188"/>
        <v>195.7</v>
      </c>
      <c r="N315" s="406">
        <f t="shared" si="188"/>
        <v>95.7</v>
      </c>
      <c r="O315" s="406">
        <f t="shared" si="188"/>
        <v>100</v>
      </c>
      <c r="P315" s="406">
        <f t="shared" si="188"/>
        <v>0</v>
      </c>
      <c r="Q315" s="406">
        <f t="shared" si="188"/>
        <v>0</v>
      </c>
      <c r="R315" s="406">
        <f t="shared" si="188"/>
        <v>0</v>
      </c>
      <c r="S315" s="406" t="s">
        <v>468</v>
      </c>
    </row>
    <row r="316" spans="1:19" s="183" customFormat="1" ht="17.25" customHeight="1">
      <c r="A316" s="209" t="s">
        <v>257</v>
      </c>
      <c r="B316" s="210" t="s">
        <v>469</v>
      </c>
      <c r="C316" s="406">
        <v>305.58999999999997</v>
      </c>
      <c r="D316" s="211"/>
      <c r="E316" s="338">
        <f t="shared" ref="E316:E321" si="189">G316+R316</f>
        <v>307.27999999999997</v>
      </c>
      <c r="F316" s="212">
        <f t="shared" si="155"/>
        <v>1.6899999999999977</v>
      </c>
      <c r="G316" s="213">
        <f t="shared" ref="G316:G323" si="190">H316+P316+Q316</f>
        <v>307.27999999999997</v>
      </c>
      <c r="H316" s="213">
        <f t="shared" ref="H316:H323" si="191">J316+M316</f>
        <v>307.27999999999997</v>
      </c>
      <c r="I316" s="213">
        <v>3</v>
      </c>
      <c r="J316" s="213">
        <v>307.27999999999997</v>
      </c>
      <c r="K316" s="213"/>
      <c r="L316" s="213"/>
      <c r="M316" s="213">
        <f t="shared" si="162"/>
        <v>0</v>
      </c>
      <c r="N316" s="213"/>
      <c r="O316" s="213">
        <v>0</v>
      </c>
      <c r="P316" s="213"/>
      <c r="Q316" s="213"/>
      <c r="R316" s="213"/>
      <c r="S316" s="406"/>
    </row>
    <row r="317" spans="1:19" s="183" customFormat="1" ht="17.25" customHeight="1">
      <c r="A317" s="209" t="s">
        <v>257</v>
      </c>
      <c r="B317" s="210" t="s">
        <v>661</v>
      </c>
      <c r="C317" s="406">
        <v>70.2</v>
      </c>
      <c r="D317" s="211"/>
      <c r="E317" s="338">
        <f t="shared" si="189"/>
        <v>70.2</v>
      </c>
      <c r="F317" s="212">
        <f t="shared" si="155"/>
        <v>0</v>
      </c>
      <c r="G317" s="213">
        <f t="shared" si="190"/>
        <v>70.2</v>
      </c>
      <c r="H317" s="213">
        <f t="shared" si="191"/>
        <v>70.2</v>
      </c>
      <c r="I317" s="213"/>
      <c r="J317" s="213">
        <f t="shared" ref="J317:J323" si="192">K317+L317</f>
        <v>0</v>
      </c>
      <c r="K317" s="213"/>
      <c r="L317" s="213"/>
      <c r="M317" s="213">
        <f t="shared" si="162"/>
        <v>70.2</v>
      </c>
      <c r="N317" s="213">
        <f>3*18*1.3</f>
        <v>70.2</v>
      </c>
      <c r="O317" s="213">
        <v>0</v>
      </c>
      <c r="P317" s="213">
        <v>0</v>
      </c>
      <c r="Q317" s="213">
        <v>0</v>
      </c>
      <c r="R317" s="213">
        <v>0</v>
      </c>
      <c r="S317" s="406"/>
    </row>
    <row r="318" spans="1:19" s="183" customFormat="1" ht="17.25" customHeight="1">
      <c r="A318" s="209" t="s">
        <v>257</v>
      </c>
      <c r="B318" s="210" t="s">
        <v>454</v>
      </c>
      <c r="C318" s="406">
        <v>5.3639999999999999</v>
      </c>
      <c r="D318" s="211"/>
      <c r="E318" s="338">
        <f t="shared" si="189"/>
        <v>5.36</v>
      </c>
      <c r="F318" s="212">
        <f t="shared" ref="F318:F380" si="193">E318-C318</f>
        <v>-3.9999999999995595E-3</v>
      </c>
      <c r="G318" s="213">
        <f t="shared" si="190"/>
        <v>5.36</v>
      </c>
      <c r="H318" s="213">
        <f t="shared" si="191"/>
        <v>5.36</v>
      </c>
      <c r="I318" s="213"/>
      <c r="J318" s="213">
        <v>5.36</v>
      </c>
      <c r="K318" s="213"/>
      <c r="L318" s="213"/>
      <c r="M318" s="213">
        <f t="shared" si="162"/>
        <v>0</v>
      </c>
      <c r="N318" s="213"/>
      <c r="O318" s="213">
        <v>0</v>
      </c>
      <c r="P318" s="213"/>
      <c r="Q318" s="213"/>
      <c r="R318" s="213"/>
      <c r="S318" s="406"/>
    </row>
    <row r="319" spans="1:19" s="183" customFormat="1" ht="28.5" customHeight="1">
      <c r="A319" s="209" t="s">
        <v>257</v>
      </c>
      <c r="B319" s="215" t="s">
        <v>292</v>
      </c>
      <c r="C319" s="406">
        <v>10.5</v>
      </c>
      <c r="D319" s="211"/>
      <c r="E319" s="338">
        <f t="shared" si="189"/>
        <v>10.5</v>
      </c>
      <c r="F319" s="212">
        <f t="shared" si="193"/>
        <v>0</v>
      </c>
      <c r="G319" s="213">
        <f t="shared" si="190"/>
        <v>10.5</v>
      </c>
      <c r="H319" s="213">
        <f t="shared" si="191"/>
        <v>10.5</v>
      </c>
      <c r="I319" s="213"/>
      <c r="J319" s="213">
        <f t="shared" si="192"/>
        <v>0</v>
      </c>
      <c r="K319" s="213"/>
      <c r="L319" s="213"/>
      <c r="M319" s="213">
        <f>N319+O319</f>
        <v>10.5</v>
      </c>
      <c r="N319" s="213">
        <v>10.5</v>
      </c>
      <c r="O319" s="213">
        <v>0</v>
      </c>
      <c r="P319" s="213"/>
      <c r="Q319" s="213"/>
      <c r="R319" s="213"/>
      <c r="S319" s="406"/>
    </row>
    <row r="320" spans="1:19" s="183" customFormat="1" ht="17.25" customHeight="1">
      <c r="A320" s="209" t="s">
        <v>257</v>
      </c>
      <c r="B320" s="210" t="s">
        <v>470</v>
      </c>
      <c r="C320" s="406">
        <v>55</v>
      </c>
      <c r="D320" s="211"/>
      <c r="E320" s="338">
        <f t="shared" si="189"/>
        <v>55</v>
      </c>
      <c r="F320" s="212">
        <f t="shared" si="193"/>
        <v>0</v>
      </c>
      <c r="G320" s="213">
        <f t="shared" si="190"/>
        <v>55</v>
      </c>
      <c r="H320" s="213">
        <f t="shared" si="191"/>
        <v>55</v>
      </c>
      <c r="I320" s="213"/>
      <c r="J320" s="213">
        <f t="shared" si="192"/>
        <v>0</v>
      </c>
      <c r="K320" s="213"/>
      <c r="L320" s="213"/>
      <c r="M320" s="213">
        <f>N320+O320</f>
        <v>55</v>
      </c>
      <c r="N320" s="213"/>
      <c r="O320" s="213">
        <v>55</v>
      </c>
      <c r="P320" s="213"/>
      <c r="Q320" s="213"/>
      <c r="R320" s="213"/>
      <c r="S320" s="406"/>
    </row>
    <row r="321" spans="1:19" s="225" customFormat="1" ht="21" customHeight="1">
      <c r="A321" s="209"/>
      <c r="B321" s="247" t="s">
        <v>701</v>
      </c>
      <c r="C321" s="406"/>
      <c r="D321" s="211"/>
      <c r="E321" s="338">
        <f t="shared" si="189"/>
        <v>15</v>
      </c>
      <c r="F321" s="212">
        <f t="shared" si="193"/>
        <v>15</v>
      </c>
      <c r="G321" s="213">
        <f>H321+P321+Q321</f>
        <v>15</v>
      </c>
      <c r="H321" s="213">
        <f>J321+M321</f>
        <v>15</v>
      </c>
      <c r="I321" s="213"/>
      <c r="J321" s="213">
        <f t="shared" si="192"/>
        <v>0</v>
      </c>
      <c r="K321" s="213"/>
      <c r="L321" s="213"/>
      <c r="M321" s="213">
        <f>N321+O321</f>
        <v>15</v>
      </c>
      <c r="N321" s="213">
        <v>15</v>
      </c>
      <c r="O321" s="213"/>
      <c r="P321" s="213"/>
      <c r="Q321" s="213"/>
      <c r="R321" s="213"/>
      <c r="S321" s="406"/>
    </row>
    <row r="322" spans="1:19" s="183" customFormat="1" ht="18" customHeight="1">
      <c r="A322" s="209" t="s">
        <v>257</v>
      </c>
      <c r="B322" s="215" t="s">
        <v>775</v>
      </c>
      <c r="C322" s="406">
        <v>14</v>
      </c>
      <c r="D322" s="211"/>
      <c r="E322" s="338">
        <f t="shared" ref="E322" si="194">G322+R322</f>
        <v>0</v>
      </c>
      <c r="F322" s="212">
        <f t="shared" si="193"/>
        <v>-14</v>
      </c>
      <c r="G322" s="213">
        <f t="shared" ref="G322" si="195">H322+P322+Q322</f>
        <v>0</v>
      </c>
      <c r="H322" s="213">
        <f t="shared" ref="H322" si="196">J322+M322</f>
        <v>0</v>
      </c>
      <c r="I322" s="213"/>
      <c r="J322" s="213"/>
      <c r="K322" s="213"/>
      <c r="L322" s="213"/>
      <c r="M322" s="213">
        <f t="shared" ref="M322" si="197">N322+O322</f>
        <v>0</v>
      </c>
      <c r="N322" s="213"/>
      <c r="O322" s="213"/>
      <c r="P322" s="213"/>
      <c r="Q322" s="213"/>
      <c r="R322" s="213"/>
      <c r="S322" s="406"/>
    </row>
    <row r="323" spans="1:19" s="183" customFormat="1" ht="60" customHeight="1">
      <c r="A323" s="209" t="s">
        <v>257</v>
      </c>
      <c r="B323" s="215" t="s">
        <v>688</v>
      </c>
      <c r="C323" s="406">
        <f>30+15</f>
        <v>45</v>
      </c>
      <c r="D323" s="211"/>
      <c r="E323" s="338">
        <f>G323+R323</f>
        <v>45</v>
      </c>
      <c r="F323" s="212">
        <f t="shared" si="193"/>
        <v>0</v>
      </c>
      <c r="G323" s="213">
        <f t="shared" si="190"/>
        <v>45</v>
      </c>
      <c r="H323" s="213">
        <f t="shared" si="191"/>
        <v>45</v>
      </c>
      <c r="I323" s="213"/>
      <c r="J323" s="213">
        <f t="shared" si="192"/>
        <v>0</v>
      </c>
      <c r="K323" s="213"/>
      <c r="L323" s="213"/>
      <c r="M323" s="213">
        <f t="shared" si="162"/>
        <v>45</v>
      </c>
      <c r="N323" s="213"/>
      <c r="O323" s="213">
        <v>45</v>
      </c>
      <c r="P323" s="213"/>
      <c r="Q323" s="213"/>
      <c r="R323" s="213"/>
      <c r="S323" s="406"/>
    </row>
    <row r="324" spans="1:19" s="183" customFormat="1" ht="21" customHeight="1">
      <c r="A324" s="209" t="s">
        <v>218</v>
      </c>
      <c r="B324" s="210" t="s">
        <v>471</v>
      </c>
      <c r="C324" s="406">
        <f>C325+C330</f>
        <v>1309.9870000000001</v>
      </c>
      <c r="D324" s="211"/>
      <c r="E324" s="338">
        <f>E325+E330</f>
        <v>1060.8600000000001</v>
      </c>
      <c r="F324" s="212">
        <f t="shared" si="193"/>
        <v>-249.12699999999995</v>
      </c>
      <c r="G324" s="213">
        <f t="shared" ref="G324:R324" si="198">G325+G330</f>
        <v>1060.8600000000001</v>
      </c>
      <c r="H324" s="213">
        <f t="shared" si="198"/>
        <v>1060.8600000000001</v>
      </c>
      <c r="I324" s="213">
        <f t="shared" si="198"/>
        <v>7</v>
      </c>
      <c r="J324" s="213">
        <f t="shared" si="198"/>
        <v>490.06</v>
      </c>
      <c r="K324" s="213">
        <f t="shared" si="198"/>
        <v>0</v>
      </c>
      <c r="L324" s="213">
        <f t="shared" si="198"/>
        <v>0</v>
      </c>
      <c r="M324" s="213">
        <f t="shared" si="198"/>
        <v>570.79999999999995</v>
      </c>
      <c r="N324" s="213">
        <f t="shared" si="198"/>
        <v>170.8</v>
      </c>
      <c r="O324" s="213">
        <f t="shared" si="198"/>
        <v>400</v>
      </c>
      <c r="P324" s="213">
        <f t="shared" si="198"/>
        <v>0</v>
      </c>
      <c r="Q324" s="213">
        <f t="shared" si="198"/>
        <v>0</v>
      </c>
      <c r="R324" s="213">
        <f t="shared" si="198"/>
        <v>0</v>
      </c>
      <c r="S324" s="406" t="s">
        <v>471</v>
      </c>
    </row>
    <row r="325" spans="1:19" s="183" customFormat="1" ht="17.25" customHeight="1">
      <c r="A325" s="209" t="s">
        <v>472</v>
      </c>
      <c r="B325" s="210" t="s">
        <v>473</v>
      </c>
      <c r="C325" s="406">
        <f>SUM(C326:C329)</f>
        <v>759.98700000000008</v>
      </c>
      <c r="D325" s="211"/>
      <c r="E325" s="338">
        <f>SUM(E326:E329)</f>
        <v>640.86</v>
      </c>
      <c r="F325" s="212">
        <f t="shared" si="193"/>
        <v>-119.12700000000007</v>
      </c>
      <c r="G325" s="213">
        <f t="shared" ref="G325:R325" si="199">SUM(G326:G329)</f>
        <v>640.86</v>
      </c>
      <c r="H325" s="213">
        <f t="shared" si="199"/>
        <v>640.86</v>
      </c>
      <c r="I325" s="213">
        <f t="shared" si="199"/>
        <v>7</v>
      </c>
      <c r="J325" s="213">
        <f t="shared" si="199"/>
        <v>490.06</v>
      </c>
      <c r="K325" s="213">
        <f t="shared" si="199"/>
        <v>0</v>
      </c>
      <c r="L325" s="213">
        <f t="shared" si="199"/>
        <v>0</v>
      </c>
      <c r="M325" s="213">
        <f t="shared" si="199"/>
        <v>150.80000000000001</v>
      </c>
      <c r="N325" s="213">
        <f t="shared" si="199"/>
        <v>150.80000000000001</v>
      </c>
      <c r="O325" s="213">
        <f t="shared" si="199"/>
        <v>0</v>
      </c>
      <c r="P325" s="213">
        <f t="shared" si="199"/>
        <v>0</v>
      </c>
      <c r="Q325" s="213">
        <f t="shared" si="199"/>
        <v>0</v>
      </c>
      <c r="R325" s="213">
        <f t="shared" si="199"/>
        <v>0</v>
      </c>
      <c r="S325" s="406"/>
    </row>
    <row r="326" spans="1:19" s="183" customFormat="1" ht="17.25" customHeight="1">
      <c r="A326" s="209" t="s">
        <v>257</v>
      </c>
      <c r="B326" s="210" t="s">
        <v>560</v>
      </c>
      <c r="C326" s="406">
        <v>598.62300000000005</v>
      </c>
      <c r="D326" s="211"/>
      <c r="E326" s="338">
        <f>G326+R326</f>
        <v>484.7</v>
      </c>
      <c r="F326" s="212">
        <f t="shared" si="193"/>
        <v>-113.92300000000006</v>
      </c>
      <c r="G326" s="213">
        <f t="shared" ref="G326:G329" si="200">H326+P326+Q326</f>
        <v>484.7</v>
      </c>
      <c r="H326" s="213">
        <f t="shared" ref="H326:H329" si="201">J326+M326</f>
        <v>484.7</v>
      </c>
      <c r="I326" s="213">
        <v>7</v>
      </c>
      <c r="J326" s="213">
        <v>484.7</v>
      </c>
      <c r="K326" s="213"/>
      <c r="L326" s="213"/>
      <c r="M326" s="213">
        <f t="shared" si="162"/>
        <v>0</v>
      </c>
      <c r="N326" s="213"/>
      <c r="O326" s="213">
        <v>0</v>
      </c>
      <c r="P326" s="213"/>
      <c r="Q326" s="213"/>
      <c r="R326" s="213"/>
      <c r="S326" s="406"/>
    </row>
    <row r="327" spans="1:19" s="183" customFormat="1" ht="17.25" customHeight="1">
      <c r="A327" s="209" t="s">
        <v>257</v>
      </c>
      <c r="B327" s="210" t="s">
        <v>659</v>
      </c>
      <c r="C327" s="406">
        <v>145.6</v>
      </c>
      <c r="D327" s="211"/>
      <c r="E327" s="338">
        <f>G327+R327</f>
        <v>140.4</v>
      </c>
      <c r="F327" s="212">
        <f t="shared" si="193"/>
        <v>-5.1999999999999886</v>
      </c>
      <c r="G327" s="213">
        <f t="shared" si="200"/>
        <v>140.4</v>
      </c>
      <c r="H327" s="213">
        <f t="shared" si="201"/>
        <v>140.4</v>
      </c>
      <c r="I327" s="213"/>
      <c r="J327" s="213">
        <f>K327+L327</f>
        <v>0</v>
      </c>
      <c r="K327" s="213"/>
      <c r="L327" s="213"/>
      <c r="M327" s="213">
        <f t="shared" si="162"/>
        <v>140.4</v>
      </c>
      <c r="N327" s="213">
        <f>6*18*1.3</f>
        <v>140.4</v>
      </c>
      <c r="O327" s="213">
        <v>0</v>
      </c>
      <c r="P327" s="213">
        <v>0</v>
      </c>
      <c r="Q327" s="213">
        <v>0</v>
      </c>
      <c r="R327" s="213">
        <v>0</v>
      </c>
      <c r="S327" s="406"/>
    </row>
    <row r="328" spans="1:19" s="183" customFormat="1" ht="17.25" customHeight="1">
      <c r="A328" s="209" t="s">
        <v>257</v>
      </c>
      <c r="B328" s="210" t="s">
        <v>463</v>
      </c>
      <c r="C328" s="406">
        <v>5.3639999999999999</v>
      </c>
      <c r="D328" s="211"/>
      <c r="E328" s="338">
        <f>G328+R328</f>
        <v>5.36</v>
      </c>
      <c r="F328" s="212">
        <f t="shared" si="193"/>
        <v>-3.9999999999995595E-3</v>
      </c>
      <c r="G328" s="213">
        <f t="shared" si="200"/>
        <v>5.36</v>
      </c>
      <c r="H328" s="213">
        <f t="shared" si="201"/>
        <v>5.36</v>
      </c>
      <c r="I328" s="213"/>
      <c r="J328" s="213">
        <v>5.36</v>
      </c>
      <c r="K328" s="213"/>
      <c r="L328" s="213"/>
      <c r="M328" s="213">
        <f t="shared" si="162"/>
        <v>0</v>
      </c>
      <c r="N328" s="213"/>
      <c r="O328" s="213">
        <v>0</v>
      </c>
      <c r="P328" s="213"/>
      <c r="Q328" s="213"/>
      <c r="R328" s="213"/>
      <c r="S328" s="406"/>
    </row>
    <row r="329" spans="1:19" s="183" customFormat="1" ht="28.5" customHeight="1">
      <c r="A329" s="209" t="s">
        <v>257</v>
      </c>
      <c r="B329" s="215" t="s">
        <v>292</v>
      </c>
      <c r="C329" s="406">
        <v>10.4</v>
      </c>
      <c r="D329" s="211"/>
      <c r="E329" s="338">
        <f>G329+R329</f>
        <v>10.4</v>
      </c>
      <c r="F329" s="212">
        <f t="shared" si="193"/>
        <v>0</v>
      </c>
      <c r="G329" s="213">
        <f t="shared" si="200"/>
        <v>10.4</v>
      </c>
      <c r="H329" s="213">
        <f t="shared" si="201"/>
        <v>10.4</v>
      </c>
      <c r="I329" s="213"/>
      <c r="J329" s="213">
        <f>K329+L329</f>
        <v>0</v>
      </c>
      <c r="K329" s="213"/>
      <c r="L329" s="213"/>
      <c r="M329" s="213">
        <f t="shared" si="162"/>
        <v>10.4</v>
      </c>
      <c r="N329" s="213">
        <v>10.4</v>
      </c>
      <c r="O329" s="213">
        <v>0</v>
      </c>
      <c r="P329" s="213"/>
      <c r="Q329" s="213"/>
      <c r="R329" s="213"/>
      <c r="S329" s="406"/>
    </row>
    <row r="330" spans="1:19" s="183" customFormat="1" ht="17.25" customHeight="1">
      <c r="A330" s="209" t="s">
        <v>474</v>
      </c>
      <c r="B330" s="210" t="s">
        <v>395</v>
      </c>
      <c r="C330" s="406">
        <f>SUM(C331:C336)</f>
        <v>550</v>
      </c>
      <c r="D330" s="211"/>
      <c r="E330" s="338">
        <f>SUM(E331:E336)</f>
        <v>420</v>
      </c>
      <c r="F330" s="212">
        <f t="shared" si="193"/>
        <v>-130</v>
      </c>
      <c r="G330" s="213">
        <f>SUM(G331:G336)</f>
        <v>420</v>
      </c>
      <c r="H330" s="213">
        <f>SUM(H331:H336)</f>
        <v>420</v>
      </c>
      <c r="I330" s="213">
        <f>SUM(I331:I336)</f>
        <v>0</v>
      </c>
      <c r="J330" s="213">
        <f>SUM(J331:J336)</f>
        <v>0</v>
      </c>
      <c r="K330" s="213">
        <f>SUM(K331:K336)</f>
        <v>0</v>
      </c>
      <c r="L330" s="213"/>
      <c r="M330" s="213">
        <f t="shared" ref="M330:R330" si="202">SUM(M331:M336)</f>
        <v>420</v>
      </c>
      <c r="N330" s="213">
        <f t="shared" si="202"/>
        <v>20</v>
      </c>
      <c r="O330" s="213">
        <f t="shared" si="202"/>
        <v>400</v>
      </c>
      <c r="P330" s="213">
        <f t="shared" si="202"/>
        <v>0</v>
      </c>
      <c r="Q330" s="213">
        <f t="shared" si="202"/>
        <v>0</v>
      </c>
      <c r="R330" s="213">
        <f t="shared" si="202"/>
        <v>0</v>
      </c>
      <c r="S330" s="406"/>
    </row>
    <row r="331" spans="1:19" s="183" customFormat="1" ht="29.25" customHeight="1">
      <c r="A331" s="209" t="s">
        <v>257</v>
      </c>
      <c r="B331" s="215" t="s">
        <v>475</v>
      </c>
      <c r="C331" s="406">
        <v>100</v>
      </c>
      <c r="D331" s="211"/>
      <c r="E331" s="338">
        <f t="shared" ref="E331:E336" si="203">G331+R331</f>
        <v>200</v>
      </c>
      <c r="F331" s="212">
        <f t="shared" si="193"/>
        <v>100</v>
      </c>
      <c r="G331" s="213">
        <f t="shared" ref="G331:G336" si="204">H331+P331+Q331</f>
        <v>200</v>
      </c>
      <c r="H331" s="213">
        <f t="shared" ref="H331:H336" si="205">J331+M331</f>
        <v>200</v>
      </c>
      <c r="I331" s="213"/>
      <c r="J331" s="213">
        <f>K331+L331</f>
        <v>0</v>
      </c>
      <c r="K331" s="213"/>
      <c r="L331" s="213"/>
      <c r="M331" s="213">
        <f t="shared" si="162"/>
        <v>200</v>
      </c>
      <c r="N331" s="213"/>
      <c r="O331" s="213">
        <v>200</v>
      </c>
      <c r="P331" s="213"/>
      <c r="Q331" s="213"/>
      <c r="R331" s="213"/>
      <c r="S331" s="406"/>
    </row>
    <row r="332" spans="1:19" s="183" customFormat="1" ht="34.5" customHeight="1">
      <c r="A332" s="209" t="s">
        <v>257</v>
      </c>
      <c r="B332" s="215" t="s">
        <v>476</v>
      </c>
      <c r="C332" s="406">
        <v>200</v>
      </c>
      <c r="D332" s="211"/>
      <c r="E332" s="338">
        <f>G332+R332</f>
        <v>200</v>
      </c>
      <c r="F332" s="212">
        <f t="shared" si="193"/>
        <v>0</v>
      </c>
      <c r="G332" s="213">
        <f>H332+P332+Q332</f>
        <v>200</v>
      </c>
      <c r="H332" s="213">
        <f>J332+M332</f>
        <v>200</v>
      </c>
      <c r="I332" s="213"/>
      <c r="J332" s="213">
        <f>K332+L332</f>
        <v>0</v>
      </c>
      <c r="K332" s="213"/>
      <c r="L332" s="213"/>
      <c r="M332" s="213">
        <f>N332+O332</f>
        <v>200</v>
      </c>
      <c r="N332" s="213"/>
      <c r="O332" s="213">
        <v>200</v>
      </c>
      <c r="P332" s="213"/>
      <c r="Q332" s="213"/>
      <c r="R332" s="213"/>
      <c r="S332" s="406"/>
    </row>
    <row r="333" spans="1:19" s="183" customFormat="1" ht="21.75" customHeight="1">
      <c r="A333" s="209" t="s">
        <v>257</v>
      </c>
      <c r="B333" s="215" t="s">
        <v>776</v>
      </c>
      <c r="C333" s="406">
        <v>50</v>
      </c>
      <c r="D333" s="211"/>
      <c r="E333" s="338"/>
      <c r="F333" s="212">
        <f t="shared" si="193"/>
        <v>-50</v>
      </c>
      <c r="G333" s="213"/>
      <c r="H333" s="213"/>
      <c r="I333" s="213"/>
      <c r="J333" s="213"/>
      <c r="K333" s="213"/>
      <c r="L333" s="213"/>
      <c r="M333" s="213"/>
      <c r="N333" s="213"/>
      <c r="O333" s="213"/>
      <c r="P333" s="213"/>
      <c r="Q333" s="213"/>
      <c r="R333" s="213"/>
      <c r="S333" s="406"/>
    </row>
    <row r="334" spans="1:19" s="183" customFormat="1" ht="21.75" customHeight="1">
      <c r="A334" s="209" t="s">
        <v>257</v>
      </c>
      <c r="B334" s="215" t="s">
        <v>769</v>
      </c>
      <c r="C334" s="406">
        <v>100</v>
      </c>
      <c r="D334" s="211"/>
      <c r="E334" s="338"/>
      <c r="F334" s="212">
        <f t="shared" si="193"/>
        <v>-100</v>
      </c>
      <c r="G334" s="213"/>
      <c r="H334" s="213"/>
      <c r="I334" s="213"/>
      <c r="J334" s="213"/>
      <c r="K334" s="213"/>
      <c r="L334" s="213"/>
      <c r="M334" s="213"/>
      <c r="N334" s="213"/>
      <c r="O334" s="213"/>
      <c r="P334" s="213"/>
      <c r="Q334" s="213"/>
      <c r="R334" s="213"/>
      <c r="S334" s="406"/>
    </row>
    <row r="335" spans="1:19" s="183" customFormat="1" ht="21.75" customHeight="1">
      <c r="A335" s="209" t="s">
        <v>257</v>
      </c>
      <c r="B335" s="215" t="s">
        <v>477</v>
      </c>
      <c r="C335" s="406">
        <v>100</v>
      </c>
      <c r="D335" s="211"/>
      <c r="E335" s="338">
        <f t="shared" si="203"/>
        <v>0</v>
      </c>
      <c r="F335" s="212">
        <f t="shared" si="193"/>
        <v>-100</v>
      </c>
      <c r="G335" s="213">
        <f t="shared" si="204"/>
        <v>0</v>
      </c>
      <c r="H335" s="213">
        <f t="shared" si="205"/>
        <v>0</v>
      </c>
      <c r="I335" s="213"/>
      <c r="J335" s="213">
        <f>K335+L335</f>
        <v>0</v>
      </c>
      <c r="K335" s="213"/>
      <c r="L335" s="213"/>
      <c r="M335" s="213">
        <f>N335+O335</f>
        <v>0</v>
      </c>
      <c r="N335" s="213"/>
      <c r="O335" s="213"/>
      <c r="P335" s="213"/>
      <c r="Q335" s="213"/>
      <c r="R335" s="213"/>
      <c r="S335" s="406"/>
    </row>
    <row r="336" spans="1:19" s="183" customFormat="1" ht="24" customHeight="1">
      <c r="A336" s="209" t="s">
        <v>257</v>
      </c>
      <c r="B336" s="215" t="s">
        <v>794</v>
      </c>
      <c r="C336" s="406"/>
      <c r="D336" s="211"/>
      <c r="E336" s="338">
        <f t="shared" si="203"/>
        <v>20</v>
      </c>
      <c r="F336" s="212">
        <f t="shared" si="193"/>
        <v>20</v>
      </c>
      <c r="G336" s="213">
        <f t="shared" si="204"/>
        <v>20</v>
      </c>
      <c r="H336" s="213">
        <f t="shared" si="205"/>
        <v>20</v>
      </c>
      <c r="I336" s="213"/>
      <c r="J336" s="213">
        <f>K336+L336</f>
        <v>0</v>
      </c>
      <c r="K336" s="213"/>
      <c r="L336" s="213"/>
      <c r="M336" s="213">
        <f>N336+O336</f>
        <v>20</v>
      </c>
      <c r="N336" s="213">
        <v>20</v>
      </c>
      <c r="O336" s="213"/>
      <c r="P336" s="213"/>
      <c r="Q336" s="213"/>
      <c r="R336" s="213"/>
      <c r="S336" s="406"/>
    </row>
    <row r="337" spans="1:19" s="183" customFormat="1" ht="17.25" customHeight="1">
      <c r="A337" s="209" t="s">
        <v>219</v>
      </c>
      <c r="B337" s="210" t="s">
        <v>478</v>
      </c>
      <c r="C337" s="406">
        <f>C338+C344</f>
        <v>1156.8049999999998</v>
      </c>
      <c r="D337" s="211"/>
      <c r="E337" s="338">
        <f>E338+E344</f>
        <v>1203.2910000000002</v>
      </c>
      <c r="F337" s="212">
        <f t="shared" si="193"/>
        <v>46.486000000000331</v>
      </c>
      <c r="G337" s="213">
        <f t="shared" ref="G337:R337" si="206">G338+G344</f>
        <v>1203.2910000000002</v>
      </c>
      <c r="H337" s="213">
        <f t="shared" si="206"/>
        <v>1203.2910000000002</v>
      </c>
      <c r="I337" s="213">
        <f t="shared" si="206"/>
        <v>6</v>
      </c>
      <c r="J337" s="213">
        <f t="shared" si="206"/>
        <v>787.09100000000001</v>
      </c>
      <c r="K337" s="213">
        <f t="shared" si="206"/>
        <v>0</v>
      </c>
      <c r="L337" s="213">
        <f t="shared" si="206"/>
        <v>0</v>
      </c>
      <c r="M337" s="213">
        <f t="shared" si="206"/>
        <v>416.20000000000005</v>
      </c>
      <c r="N337" s="213">
        <f t="shared" si="206"/>
        <v>196.20000000000002</v>
      </c>
      <c r="O337" s="213">
        <f t="shared" si="206"/>
        <v>220</v>
      </c>
      <c r="P337" s="213">
        <f t="shared" si="206"/>
        <v>0</v>
      </c>
      <c r="Q337" s="213">
        <f t="shared" si="206"/>
        <v>0</v>
      </c>
      <c r="R337" s="213">
        <f t="shared" si="206"/>
        <v>0</v>
      </c>
      <c r="S337" s="406" t="s">
        <v>478</v>
      </c>
    </row>
    <row r="338" spans="1:19" s="183" customFormat="1" ht="17.25" customHeight="1">
      <c r="A338" s="209" t="s">
        <v>479</v>
      </c>
      <c r="B338" s="210" t="s">
        <v>473</v>
      </c>
      <c r="C338" s="406">
        <f>SUM(C339:C343)</f>
        <v>886.80499999999995</v>
      </c>
      <c r="D338" s="211"/>
      <c r="E338" s="338">
        <f>SUM(E339:E343)</f>
        <v>983.29100000000005</v>
      </c>
      <c r="F338" s="212">
        <f t="shared" si="193"/>
        <v>96.486000000000104</v>
      </c>
      <c r="G338" s="213">
        <f t="shared" ref="G338:R338" si="207">SUM(G339:G343)</f>
        <v>983.29100000000005</v>
      </c>
      <c r="H338" s="213">
        <f t="shared" si="207"/>
        <v>983.29100000000005</v>
      </c>
      <c r="I338" s="213">
        <f t="shared" si="207"/>
        <v>6</v>
      </c>
      <c r="J338" s="213">
        <f t="shared" si="207"/>
        <v>787.09100000000001</v>
      </c>
      <c r="K338" s="213">
        <f t="shared" si="207"/>
        <v>0</v>
      </c>
      <c r="L338" s="213">
        <f t="shared" si="207"/>
        <v>0</v>
      </c>
      <c r="M338" s="213">
        <f t="shared" si="207"/>
        <v>196.20000000000002</v>
      </c>
      <c r="N338" s="213">
        <f t="shared" si="207"/>
        <v>196.20000000000002</v>
      </c>
      <c r="O338" s="213">
        <f t="shared" si="207"/>
        <v>0</v>
      </c>
      <c r="P338" s="213">
        <f t="shared" si="207"/>
        <v>0</v>
      </c>
      <c r="Q338" s="213">
        <f t="shared" si="207"/>
        <v>0</v>
      </c>
      <c r="R338" s="213">
        <f t="shared" si="207"/>
        <v>0</v>
      </c>
      <c r="S338" s="406"/>
    </row>
    <row r="339" spans="1:19" s="183" customFormat="1" ht="17.25" customHeight="1">
      <c r="A339" s="209" t="s">
        <v>257</v>
      </c>
      <c r="B339" s="210" t="s">
        <v>561</v>
      </c>
      <c r="C339" s="406">
        <v>609.64099999999996</v>
      </c>
      <c r="D339" s="211"/>
      <c r="E339" s="338">
        <f>G339+R339</f>
        <v>781.73099999999999</v>
      </c>
      <c r="F339" s="212">
        <f t="shared" si="193"/>
        <v>172.09000000000003</v>
      </c>
      <c r="G339" s="213">
        <f>H339+P339+Q339</f>
        <v>781.73099999999999</v>
      </c>
      <c r="H339" s="213">
        <f>J339+M339</f>
        <v>781.73099999999999</v>
      </c>
      <c r="I339" s="213">
        <v>6</v>
      </c>
      <c r="J339" s="213">
        <v>781.73099999999999</v>
      </c>
      <c r="K339" s="213"/>
      <c r="L339" s="213"/>
      <c r="M339" s="213">
        <f t="shared" ref="M339:M408" si="208">N339+O339</f>
        <v>0</v>
      </c>
      <c r="N339" s="213"/>
      <c r="O339" s="213"/>
      <c r="P339" s="213"/>
      <c r="Q339" s="213"/>
      <c r="R339" s="213"/>
      <c r="S339" s="406"/>
    </row>
    <row r="340" spans="1:19" s="183" customFormat="1" ht="17.25" customHeight="1">
      <c r="A340" s="209" t="s">
        <v>257</v>
      </c>
      <c r="B340" s="210" t="s">
        <v>675</v>
      </c>
      <c r="C340" s="406">
        <v>124.8</v>
      </c>
      <c r="D340" s="211"/>
      <c r="E340" s="338">
        <f>G340+R340</f>
        <v>187.20000000000002</v>
      </c>
      <c r="F340" s="212">
        <f t="shared" si="193"/>
        <v>62.40000000000002</v>
      </c>
      <c r="G340" s="213">
        <f>H340+P340+Q340</f>
        <v>187.20000000000002</v>
      </c>
      <c r="H340" s="213">
        <f>J340+M340</f>
        <v>187.20000000000002</v>
      </c>
      <c r="I340" s="213"/>
      <c r="J340" s="213">
        <f>K340+L340</f>
        <v>0</v>
      </c>
      <c r="K340" s="213"/>
      <c r="L340" s="213"/>
      <c r="M340" s="213">
        <f t="shared" si="208"/>
        <v>187.20000000000002</v>
      </c>
      <c r="N340" s="213">
        <f>8*18*1.3</f>
        <v>187.20000000000002</v>
      </c>
      <c r="O340" s="213"/>
      <c r="P340" s="213">
        <v>0</v>
      </c>
      <c r="Q340" s="213">
        <v>0</v>
      </c>
      <c r="R340" s="213">
        <v>0</v>
      </c>
      <c r="S340" s="406"/>
    </row>
    <row r="341" spans="1:19" s="183" customFormat="1" ht="17.25" customHeight="1">
      <c r="A341" s="209" t="s">
        <v>257</v>
      </c>
      <c r="B341" s="210" t="s">
        <v>480</v>
      </c>
      <c r="C341" s="406">
        <v>5.3639999999999999</v>
      </c>
      <c r="D341" s="211"/>
      <c r="E341" s="338">
        <f>G341+R341</f>
        <v>5.36</v>
      </c>
      <c r="F341" s="212">
        <f t="shared" si="193"/>
        <v>-3.9999999999995595E-3</v>
      </c>
      <c r="G341" s="213">
        <f>H341+P341+Q341</f>
        <v>5.36</v>
      </c>
      <c r="H341" s="213">
        <f>J341+M341</f>
        <v>5.36</v>
      </c>
      <c r="I341" s="213"/>
      <c r="J341" s="213">
        <v>5.36</v>
      </c>
      <c r="K341" s="213"/>
      <c r="L341" s="213"/>
      <c r="M341" s="213">
        <f t="shared" si="208"/>
        <v>0</v>
      </c>
      <c r="N341" s="213"/>
      <c r="O341" s="213"/>
      <c r="P341" s="213"/>
      <c r="Q341" s="213"/>
      <c r="R341" s="213"/>
      <c r="S341" s="406"/>
    </row>
    <row r="342" spans="1:19" s="183" customFormat="1" ht="31.5" customHeight="1">
      <c r="A342" s="209" t="s">
        <v>257</v>
      </c>
      <c r="B342" s="215" t="s">
        <v>426</v>
      </c>
      <c r="C342" s="406">
        <v>9</v>
      </c>
      <c r="D342" s="211"/>
      <c r="E342" s="338">
        <f>G342+R342</f>
        <v>9</v>
      </c>
      <c r="F342" s="212">
        <f t="shared" si="193"/>
        <v>0</v>
      </c>
      <c r="G342" s="213">
        <f>H342+P342+Q342</f>
        <v>9</v>
      </c>
      <c r="H342" s="213">
        <f>J342+M342</f>
        <v>9</v>
      </c>
      <c r="I342" s="213"/>
      <c r="J342" s="213">
        <f>K342+L342</f>
        <v>0</v>
      </c>
      <c r="K342" s="213"/>
      <c r="L342" s="213"/>
      <c r="M342" s="213">
        <f t="shared" si="208"/>
        <v>9</v>
      </c>
      <c r="N342" s="213">
        <v>9</v>
      </c>
      <c r="O342" s="213"/>
      <c r="P342" s="213"/>
      <c r="Q342" s="213"/>
      <c r="R342" s="213"/>
      <c r="S342" s="406"/>
    </row>
    <row r="343" spans="1:19" s="183" customFormat="1" ht="21.75" customHeight="1">
      <c r="A343" s="209" t="s">
        <v>257</v>
      </c>
      <c r="B343" s="215" t="s">
        <v>777</v>
      </c>
      <c r="C343" s="406">
        <v>138</v>
      </c>
      <c r="D343" s="211"/>
      <c r="E343" s="338"/>
      <c r="F343" s="212">
        <f t="shared" si="193"/>
        <v>-138</v>
      </c>
      <c r="G343" s="213"/>
      <c r="H343" s="213"/>
      <c r="I343" s="213"/>
      <c r="J343" s="213"/>
      <c r="K343" s="213"/>
      <c r="L343" s="213"/>
      <c r="M343" s="213"/>
      <c r="N343" s="213"/>
      <c r="O343" s="213"/>
      <c r="P343" s="213"/>
      <c r="Q343" s="213"/>
      <c r="R343" s="213"/>
      <c r="S343" s="406"/>
    </row>
    <row r="344" spans="1:19" s="183" customFormat="1" ht="17.25" customHeight="1">
      <c r="A344" s="209" t="s">
        <v>481</v>
      </c>
      <c r="B344" s="210" t="s">
        <v>395</v>
      </c>
      <c r="C344" s="406">
        <f>SUM(C345:C346)</f>
        <v>270</v>
      </c>
      <c r="D344" s="211"/>
      <c r="E344" s="338">
        <f>SUM(E345:E346)</f>
        <v>220</v>
      </c>
      <c r="F344" s="212">
        <f t="shared" si="193"/>
        <v>-50</v>
      </c>
      <c r="G344" s="213">
        <f>SUM(G345:G346)</f>
        <v>220</v>
      </c>
      <c r="H344" s="213">
        <f>SUM(H345:H346)</f>
        <v>220</v>
      </c>
      <c r="I344" s="213">
        <f>SUM(I345:I346)</f>
        <v>0</v>
      </c>
      <c r="J344" s="213">
        <f>SUM(J345:J346)</f>
        <v>0</v>
      </c>
      <c r="K344" s="213">
        <f>SUM(K345:K346)</f>
        <v>0</v>
      </c>
      <c r="L344" s="213"/>
      <c r="M344" s="213">
        <f t="shared" ref="M344:R344" si="209">SUM(M345:M346)</f>
        <v>220</v>
      </c>
      <c r="N344" s="213">
        <f t="shared" si="209"/>
        <v>0</v>
      </c>
      <c r="O344" s="213">
        <f t="shared" si="209"/>
        <v>220</v>
      </c>
      <c r="P344" s="213">
        <f t="shared" si="209"/>
        <v>0</v>
      </c>
      <c r="Q344" s="213">
        <f t="shared" si="209"/>
        <v>0</v>
      </c>
      <c r="R344" s="213">
        <f t="shared" si="209"/>
        <v>0</v>
      </c>
      <c r="S344" s="406"/>
    </row>
    <row r="345" spans="1:19" s="183" customFormat="1" ht="30" customHeight="1">
      <c r="A345" s="214" t="s">
        <v>257</v>
      </c>
      <c r="B345" s="215" t="s">
        <v>687</v>
      </c>
      <c r="C345" s="406">
        <v>200</v>
      </c>
      <c r="D345" s="211"/>
      <c r="E345" s="338">
        <f>G345+R345</f>
        <v>200</v>
      </c>
      <c r="F345" s="212">
        <f t="shared" si="193"/>
        <v>0</v>
      </c>
      <c r="G345" s="213">
        <f>H345+P345+Q345</f>
        <v>200</v>
      </c>
      <c r="H345" s="213">
        <f>J345+M345</f>
        <v>200</v>
      </c>
      <c r="I345" s="213"/>
      <c r="J345" s="213">
        <f>K345+L345</f>
        <v>0</v>
      </c>
      <c r="K345" s="213"/>
      <c r="L345" s="213"/>
      <c r="M345" s="213">
        <f>N345+O345</f>
        <v>200</v>
      </c>
      <c r="N345" s="213"/>
      <c r="O345" s="213">
        <v>200</v>
      </c>
      <c r="P345" s="213"/>
      <c r="Q345" s="213"/>
      <c r="R345" s="213"/>
      <c r="S345" s="406"/>
    </row>
    <row r="346" spans="1:19" s="183" customFormat="1" ht="42" customHeight="1">
      <c r="A346" s="214" t="s">
        <v>257</v>
      </c>
      <c r="B346" s="215" t="s">
        <v>749</v>
      </c>
      <c r="C346" s="406">
        <v>70</v>
      </c>
      <c r="D346" s="211"/>
      <c r="E346" s="338">
        <f>G346+R346</f>
        <v>20</v>
      </c>
      <c r="F346" s="212">
        <f t="shared" si="193"/>
        <v>-50</v>
      </c>
      <c r="G346" s="213">
        <f>H346+P346+Q346</f>
        <v>20</v>
      </c>
      <c r="H346" s="213">
        <f>J346+M346</f>
        <v>20</v>
      </c>
      <c r="I346" s="213"/>
      <c r="J346" s="213">
        <f>K346+L346</f>
        <v>0</v>
      </c>
      <c r="K346" s="213"/>
      <c r="L346" s="213"/>
      <c r="M346" s="213">
        <f>N346+O346</f>
        <v>20</v>
      </c>
      <c r="N346" s="213"/>
      <c r="O346" s="213">
        <v>20</v>
      </c>
      <c r="P346" s="213"/>
      <c r="Q346" s="213"/>
      <c r="R346" s="213"/>
      <c r="S346" s="406"/>
    </row>
    <row r="347" spans="1:19" s="183" customFormat="1" ht="17.25" customHeight="1">
      <c r="A347" s="209" t="s">
        <v>220</v>
      </c>
      <c r="B347" s="210" t="s">
        <v>482</v>
      </c>
      <c r="C347" s="406">
        <f>SUM(C348:C354)</f>
        <v>748.19400000000007</v>
      </c>
      <c r="D347" s="211"/>
      <c r="E347" s="338">
        <f>SUM(E348:E354)</f>
        <v>933.72</v>
      </c>
      <c r="F347" s="212">
        <f t="shared" si="193"/>
        <v>185.52599999999995</v>
      </c>
      <c r="G347" s="213">
        <f t="shared" ref="G347:R347" si="210">SUM(G348:G354)</f>
        <v>933.72</v>
      </c>
      <c r="H347" s="213">
        <f t="shared" si="210"/>
        <v>933.72</v>
      </c>
      <c r="I347" s="213">
        <f t="shared" si="210"/>
        <v>5</v>
      </c>
      <c r="J347" s="213">
        <f t="shared" si="210"/>
        <v>672.72</v>
      </c>
      <c r="K347" s="213">
        <f t="shared" si="210"/>
        <v>0</v>
      </c>
      <c r="L347" s="213">
        <f t="shared" si="210"/>
        <v>0</v>
      </c>
      <c r="M347" s="213">
        <f t="shared" si="210"/>
        <v>261</v>
      </c>
      <c r="N347" s="213">
        <f t="shared" si="210"/>
        <v>126</v>
      </c>
      <c r="O347" s="213">
        <f t="shared" si="210"/>
        <v>135</v>
      </c>
      <c r="P347" s="213">
        <f t="shared" si="210"/>
        <v>0</v>
      </c>
      <c r="Q347" s="213">
        <f t="shared" si="210"/>
        <v>0</v>
      </c>
      <c r="R347" s="213">
        <f t="shared" si="210"/>
        <v>0</v>
      </c>
      <c r="S347" s="406" t="s">
        <v>482</v>
      </c>
    </row>
    <row r="348" spans="1:19" s="183" customFormat="1" ht="17.25" customHeight="1">
      <c r="A348" s="214" t="s">
        <v>257</v>
      </c>
      <c r="B348" s="210" t="s">
        <v>483</v>
      </c>
      <c r="C348" s="406">
        <v>586.83000000000004</v>
      </c>
      <c r="D348" s="211"/>
      <c r="E348" s="338">
        <f t="shared" ref="E348:E354" si="211">G348+R348</f>
        <v>610.14</v>
      </c>
      <c r="F348" s="212">
        <f t="shared" si="193"/>
        <v>23.309999999999945</v>
      </c>
      <c r="G348" s="213">
        <f t="shared" ref="G348:G354" si="212">H348+P348+Q348</f>
        <v>610.14</v>
      </c>
      <c r="H348" s="213">
        <f t="shared" ref="H348:H354" si="213">J348+M348</f>
        <v>610.14</v>
      </c>
      <c r="I348" s="213">
        <v>5</v>
      </c>
      <c r="J348" s="213">
        <v>610.14</v>
      </c>
      <c r="K348" s="213"/>
      <c r="L348" s="213"/>
      <c r="M348" s="213">
        <f t="shared" si="208"/>
        <v>0</v>
      </c>
      <c r="N348" s="213"/>
      <c r="O348" s="213">
        <v>0</v>
      </c>
      <c r="P348" s="213"/>
      <c r="Q348" s="213"/>
      <c r="R348" s="213"/>
      <c r="S348" s="406"/>
    </row>
    <row r="349" spans="1:19" s="183" customFormat="1" ht="17.25" customHeight="1">
      <c r="A349" s="214" t="s">
        <v>257</v>
      </c>
      <c r="B349" s="210" t="s">
        <v>662</v>
      </c>
      <c r="C349" s="406">
        <v>117</v>
      </c>
      <c r="D349" s="211"/>
      <c r="E349" s="338">
        <f t="shared" si="211"/>
        <v>117</v>
      </c>
      <c r="F349" s="212">
        <f t="shared" si="193"/>
        <v>0</v>
      </c>
      <c r="G349" s="213">
        <f t="shared" si="212"/>
        <v>117</v>
      </c>
      <c r="H349" s="213">
        <f t="shared" si="213"/>
        <v>117</v>
      </c>
      <c r="I349" s="213"/>
      <c r="J349" s="213">
        <f t="shared" ref="J349:J352" si="214">K349+L349</f>
        <v>0</v>
      </c>
      <c r="K349" s="213"/>
      <c r="L349" s="213"/>
      <c r="M349" s="213">
        <f t="shared" si="208"/>
        <v>117</v>
      </c>
      <c r="N349" s="213">
        <f>5*18*1.3</f>
        <v>117</v>
      </c>
      <c r="O349" s="213">
        <v>0</v>
      </c>
      <c r="P349" s="213">
        <v>0</v>
      </c>
      <c r="Q349" s="213">
        <v>0</v>
      </c>
      <c r="R349" s="213">
        <v>0</v>
      </c>
      <c r="S349" s="406"/>
    </row>
    <row r="350" spans="1:19" s="183" customFormat="1" ht="17.25" customHeight="1">
      <c r="A350" s="214" t="s">
        <v>257</v>
      </c>
      <c r="B350" s="210" t="s">
        <v>484</v>
      </c>
      <c r="C350" s="406">
        <v>5.3639999999999999</v>
      </c>
      <c r="D350" s="211"/>
      <c r="E350" s="338">
        <f t="shared" si="211"/>
        <v>5.36</v>
      </c>
      <c r="F350" s="212">
        <f t="shared" si="193"/>
        <v>-3.9999999999995595E-3</v>
      </c>
      <c r="G350" s="213">
        <f t="shared" si="212"/>
        <v>5.36</v>
      </c>
      <c r="H350" s="213">
        <f t="shared" si="213"/>
        <v>5.36</v>
      </c>
      <c r="I350" s="213"/>
      <c r="J350" s="213">
        <v>5.36</v>
      </c>
      <c r="K350" s="213"/>
      <c r="L350" s="213"/>
      <c r="M350" s="213">
        <f t="shared" si="208"/>
        <v>0</v>
      </c>
      <c r="N350" s="213"/>
      <c r="O350" s="213">
        <v>0</v>
      </c>
      <c r="P350" s="213"/>
      <c r="Q350" s="213"/>
      <c r="R350" s="213"/>
      <c r="S350" s="406"/>
    </row>
    <row r="351" spans="1:19" s="183" customFormat="1" ht="28.5" customHeight="1">
      <c r="A351" s="214" t="s">
        <v>257</v>
      </c>
      <c r="B351" s="215" t="s">
        <v>292</v>
      </c>
      <c r="C351" s="406">
        <v>9</v>
      </c>
      <c r="D351" s="211"/>
      <c r="E351" s="338">
        <f t="shared" si="211"/>
        <v>9</v>
      </c>
      <c r="F351" s="212">
        <f t="shared" si="193"/>
        <v>0</v>
      </c>
      <c r="G351" s="213">
        <f t="shared" si="212"/>
        <v>9</v>
      </c>
      <c r="H351" s="213">
        <f t="shared" si="213"/>
        <v>9</v>
      </c>
      <c r="I351" s="213"/>
      <c r="J351" s="213">
        <f t="shared" si="214"/>
        <v>0</v>
      </c>
      <c r="K351" s="213"/>
      <c r="L351" s="213"/>
      <c r="M351" s="213">
        <f t="shared" si="208"/>
        <v>9</v>
      </c>
      <c r="N351" s="213">
        <v>9</v>
      </c>
      <c r="O351" s="213">
        <v>0</v>
      </c>
      <c r="P351" s="213"/>
      <c r="Q351" s="213"/>
      <c r="R351" s="213"/>
      <c r="S351" s="406"/>
    </row>
    <row r="352" spans="1:19" s="183" customFormat="1" ht="21" customHeight="1">
      <c r="A352" s="209" t="s">
        <v>257</v>
      </c>
      <c r="B352" s="215" t="s">
        <v>319</v>
      </c>
      <c r="C352" s="406"/>
      <c r="D352" s="211"/>
      <c r="E352" s="338">
        <f t="shared" si="211"/>
        <v>0</v>
      </c>
      <c r="F352" s="212">
        <f t="shared" si="193"/>
        <v>0</v>
      </c>
      <c r="G352" s="213">
        <f t="shared" si="212"/>
        <v>0</v>
      </c>
      <c r="H352" s="213">
        <f t="shared" si="213"/>
        <v>0</v>
      </c>
      <c r="I352" s="213"/>
      <c r="J352" s="213">
        <f t="shared" si="214"/>
        <v>0</v>
      </c>
      <c r="K352" s="213"/>
      <c r="L352" s="213"/>
      <c r="M352" s="213">
        <f>N352+O352</f>
        <v>0</v>
      </c>
      <c r="N352" s="213"/>
      <c r="O352" s="213">
        <v>0</v>
      </c>
      <c r="P352" s="213"/>
      <c r="Q352" s="213"/>
      <c r="R352" s="213"/>
      <c r="S352" s="406"/>
    </row>
    <row r="353" spans="1:19" s="183" customFormat="1" ht="17.25" customHeight="1">
      <c r="A353" s="214" t="s">
        <v>257</v>
      </c>
      <c r="B353" s="210" t="s">
        <v>816</v>
      </c>
      <c r="C353" s="406">
        <v>30</v>
      </c>
      <c r="D353" s="211"/>
      <c r="E353" s="338">
        <f t="shared" ref="E353" si="215">G353+R353</f>
        <v>50</v>
      </c>
      <c r="F353" s="212">
        <f t="shared" ref="F353" si="216">E353-C353</f>
        <v>20</v>
      </c>
      <c r="G353" s="213">
        <f t="shared" ref="G353" si="217">H353+P353+Q353</f>
        <v>50</v>
      </c>
      <c r="H353" s="213">
        <f t="shared" ref="H353" si="218">J353+M353</f>
        <v>50</v>
      </c>
      <c r="I353" s="213"/>
      <c r="J353" s="213">
        <f t="shared" ref="J353" si="219">K353+L353</f>
        <v>0</v>
      </c>
      <c r="K353" s="213"/>
      <c r="L353" s="213"/>
      <c r="M353" s="213">
        <f>N353+O353</f>
        <v>50</v>
      </c>
      <c r="N353" s="213"/>
      <c r="O353" s="213">
        <v>50</v>
      </c>
      <c r="P353" s="213"/>
      <c r="Q353" s="213"/>
      <c r="R353" s="213"/>
      <c r="S353" s="406"/>
    </row>
    <row r="354" spans="1:19" s="183" customFormat="1" ht="63" customHeight="1">
      <c r="A354" s="214" t="s">
        <v>257</v>
      </c>
      <c r="B354" s="397" t="s">
        <v>813</v>
      </c>
      <c r="C354" s="406"/>
      <c r="D354" s="211"/>
      <c r="E354" s="338">
        <f t="shared" si="211"/>
        <v>142.22</v>
      </c>
      <c r="F354" s="212">
        <f t="shared" si="193"/>
        <v>142.22</v>
      </c>
      <c r="G354" s="213">
        <f t="shared" si="212"/>
        <v>142.22</v>
      </c>
      <c r="H354" s="213">
        <f t="shared" si="213"/>
        <v>142.22</v>
      </c>
      <c r="I354" s="213"/>
      <c r="J354" s="213">
        <v>57.22</v>
      </c>
      <c r="K354" s="213"/>
      <c r="L354" s="213"/>
      <c r="M354" s="213">
        <f>N354+O354</f>
        <v>85</v>
      </c>
      <c r="N354" s="213"/>
      <c r="O354" s="213">
        <v>85</v>
      </c>
      <c r="P354" s="213"/>
      <c r="Q354" s="213"/>
      <c r="R354" s="213"/>
      <c r="S354" s="403" t="s">
        <v>814</v>
      </c>
    </row>
    <row r="355" spans="1:19" s="183" customFormat="1" ht="17.25" customHeight="1">
      <c r="A355" s="209" t="s">
        <v>224</v>
      </c>
      <c r="B355" s="210" t="s">
        <v>486</v>
      </c>
      <c r="C355" s="406">
        <f>SUM(C356:C363)</f>
        <v>915.96399999999994</v>
      </c>
      <c r="D355" s="211"/>
      <c r="E355" s="338">
        <f>SUM(E356:E363)</f>
        <v>966.92</v>
      </c>
      <c r="F355" s="212">
        <f t="shared" si="193"/>
        <v>50.956000000000017</v>
      </c>
      <c r="G355" s="213">
        <f t="shared" ref="G355:R355" si="220">SUM(G356:G363)</f>
        <v>966.92</v>
      </c>
      <c r="H355" s="213">
        <f t="shared" si="220"/>
        <v>966.92</v>
      </c>
      <c r="I355" s="213">
        <f t="shared" si="220"/>
        <v>6</v>
      </c>
      <c r="J355" s="213">
        <f t="shared" si="220"/>
        <v>747.52</v>
      </c>
      <c r="K355" s="213">
        <f t="shared" si="220"/>
        <v>0</v>
      </c>
      <c r="L355" s="213">
        <f t="shared" si="220"/>
        <v>0</v>
      </c>
      <c r="M355" s="213">
        <f t="shared" si="220"/>
        <v>219.4</v>
      </c>
      <c r="N355" s="213">
        <f t="shared" si="220"/>
        <v>149.4</v>
      </c>
      <c r="O355" s="213">
        <f t="shared" si="220"/>
        <v>70</v>
      </c>
      <c r="P355" s="213">
        <f t="shared" si="220"/>
        <v>0</v>
      </c>
      <c r="Q355" s="213">
        <f t="shared" si="220"/>
        <v>0</v>
      </c>
      <c r="R355" s="213">
        <f t="shared" si="220"/>
        <v>0</v>
      </c>
      <c r="S355" s="406" t="s">
        <v>487</v>
      </c>
    </row>
    <row r="356" spans="1:19" s="183" customFormat="1" ht="17.25" customHeight="1">
      <c r="A356" s="214" t="s">
        <v>257</v>
      </c>
      <c r="B356" s="210" t="s">
        <v>488</v>
      </c>
      <c r="C356" s="406">
        <v>706.8</v>
      </c>
      <c r="D356" s="211"/>
      <c r="E356" s="338">
        <f>G356+R356</f>
        <v>742.16</v>
      </c>
      <c r="F356" s="212">
        <f t="shared" si="193"/>
        <v>35.360000000000014</v>
      </c>
      <c r="G356" s="213">
        <f t="shared" ref="G356:G363" si="221">H356+P356+Q356</f>
        <v>742.16</v>
      </c>
      <c r="H356" s="213">
        <f t="shared" ref="H356:H363" si="222">J356+M356</f>
        <v>742.16</v>
      </c>
      <c r="I356" s="213">
        <v>6</v>
      </c>
      <c r="J356" s="213">
        <v>742.16</v>
      </c>
      <c r="K356" s="213"/>
      <c r="L356" s="213"/>
      <c r="M356" s="213">
        <f t="shared" si="208"/>
        <v>0</v>
      </c>
      <c r="N356" s="213"/>
      <c r="O356" s="213"/>
      <c r="P356" s="213"/>
      <c r="Q356" s="213"/>
      <c r="R356" s="213"/>
      <c r="S356" s="406"/>
    </row>
    <row r="357" spans="1:19" s="183" customFormat="1" ht="17.25" customHeight="1">
      <c r="A357" s="214" t="s">
        <v>257</v>
      </c>
      <c r="B357" s="210" t="s">
        <v>676</v>
      </c>
      <c r="C357" s="406">
        <v>124.8</v>
      </c>
      <c r="D357" s="211"/>
      <c r="E357" s="338">
        <f>G357</f>
        <v>140.4</v>
      </c>
      <c r="F357" s="212">
        <f t="shared" si="193"/>
        <v>15.600000000000009</v>
      </c>
      <c r="G357" s="213">
        <f t="shared" si="221"/>
        <v>140.4</v>
      </c>
      <c r="H357" s="213">
        <f t="shared" si="222"/>
        <v>140.4</v>
      </c>
      <c r="I357" s="213"/>
      <c r="J357" s="213">
        <f>K357+L357</f>
        <v>0</v>
      </c>
      <c r="K357" s="213"/>
      <c r="L357" s="213"/>
      <c r="M357" s="213">
        <f t="shared" si="208"/>
        <v>140.4</v>
      </c>
      <c r="N357" s="213">
        <f>6*18*1.3</f>
        <v>140.4</v>
      </c>
      <c r="O357" s="213"/>
      <c r="P357" s="213">
        <v>0</v>
      </c>
      <c r="Q357" s="213">
        <v>0</v>
      </c>
      <c r="R357" s="213">
        <v>0</v>
      </c>
      <c r="S357" s="406"/>
    </row>
    <row r="358" spans="1:19" s="183" customFormat="1" ht="17.25" customHeight="1">
      <c r="A358" s="214" t="s">
        <v>257</v>
      </c>
      <c r="B358" s="210" t="s">
        <v>484</v>
      </c>
      <c r="C358" s="406">
        <v>5.3639999999999999</v>
      </c>
      <c r="D358" s="211"/>
      <c r="E358" s="338">
        <f t="shared" ref="E358:E363" si="223">G358+R358</f>
        <v>5.36</v>
      </c>
      <c r="F358" s="212">
        <f t="shared" si="193"/>
        <v>-3.9999999999995595E-3</v>
      </c>
      <c r="G358" s="213">
        <f t="shared" si="221"/>
        <v>5.36</v>
      </c>
      <c r="H358" s="213">
        <f t="shared" si="222"/>
        <v>5.36</v>
      </c>
      <c r="I358" s="213"/>
      <c r="J358" s="213">
        <v>5.36</v>
      </c>
      <c r="K358" s="213"/>
      <c r="L358" s="213"/>
      <c r="M358" s="213">
        <f t="shared" si="208"/>
        <v>0</v>
      </c>
      <c r="N358" s="213"/>
      <c r="O358" s="213">
        <v>0</v>
      </c>
      <c r="P358" s="213"/>
      <c r="Q358" s="213"/>
      <c r="R358" s="213"/>
      <c r="S358" s="406"/>
    </row>
    <row r="359" spans="1:19" s="183" customFormat="1" ht="24.75" customHeight="1">
      <c r="A359" s="214" t="s">
        <v>257</v>
      </c>
      <c r="B359" s="215" t="s">
        <v>292</v>
      </c>
      <c r="C359" s="406">
        <v>9</v>
      </c>
      <c r="D359" s="211"/>
      <c r="E359" s="338">
        <f t="shared" si="223"/>
        <v>9</v>
      </c>
      <c r="F359" s="212">
        <f t="shared" si="193"/>
        <v>0</v>
      </c>
      <c r="G359" s="213">
        <f t="shared" si="221"/>
        <v>9</v>
      </c>
      <c r="H359" s="213">
        <f t="shared" si="222"/>
        <v>9</v>
      </c>
      <c r="I359" s="213"/>
      <c r="J359" s="213">
        <f>K359+L359</f>
        <v>0</v>
      </c>
      <c r="K359" s="213"/>
      <c r="L359" s="213"/>
      <c r="M359" s="213">
        <f t="shared" si="208"/>
        <v>9</v>
      </c>
      <c r="N359" s="213">
        <v>9</v>
      </c>
      <c r="O359" s="213">
        <v>0</v>
      </c>
      <c r="P359" s="213"/>
      <c r="Q359" s="213"/>
      <c r="R359" s="213"/>
      <c r="S359" s="406"/>
    </row>
    <row r="360" spans="1:19" s="183" customFormat="1" ht="21.75" customHeight="1">
      <c r="A360" s="214" t="s">
        <v>257</v>
      </c>
      <c r="B360" s="210" t="s">
        <v>489</v>
      </c>
      <c r="C360" s="406">
        <v>20</v>
      </c>
      <c r="D360" s="211"/>
      <c r="E360" s="338">
        <f t="shared" si="223"/>
        <v>20</v>
      </c>
      <c r="F360" s="212">
        <f t="shared" si="193"/>
        <v>0</v>
      </c>
      <c r="G360" s="213">
        <f t="shared" si="221"/>
        <v>20</v>
      </c>
      <c r="H360" s="213">
        <f t="shared" si="222"/>
        <v>20</v>
      </c>
      <c r="I360" s="213"/>
      <c r="J360" s="213">
        <f t="shared" ref="J360:J422" si="224">K360+L360</f>
        <v>0</v>
      </c>
      <c r="K360" s="213"/>
      <c r="L360" s="213"/>
      <c r="M360" s="213">
        <f t="shared" si="208"/>
        <v>20</v>
      </c>
      <c r="N360" s="213"/>
      <c r="O360" s="213">
        <v>20</v>
      </c>
      <c r="P360" s="213"/>
      <c r="Q360" s="213"/>
      <c r="R360" s="213"/>
      <c r="S360" s="406"/>
    </row>
    <row r="361" spans="1:19" s="183" customFormat="1" ht="19.5" customHeight="1">
      <c r="A361" s="214" t="s">
        <v>257</v>
      </c>
      <c r="B361" s="210" t="s">
        <v>490</v>
      </c>
      <c r="C361" s="406">
        <v>20</v>
      </c>
      <c r="D361" s="211"/>
      <c r="E361" s="338">
        <f t="shared" si="223"/>
        <v>20</v>
      </c>
      <c r="F361" s="212">
        <f t="shared" si="193"/>
        <v>0</v>
      </c>
      <c r="G361" s="213">
        <f t="shared" si="221"/>
        <v>20</v>
      </c>
      <c r="H361" s="213">
        <f t="shared" si="222"/>
        <v>20</v>
      </c>
      <c r="I361" s="213"/>
      <c r="J361" s="213">
        <f t="shared" si="224"/>
        <v>0</v>
      </c>
      <c r="K361" s="213"/>
      <c r="L361" s="213"/>
      <c r="M361" s="213">
        <f t="shared" si="208"/>
        <v>20</v>
      </c>
      <c r="N361" s="213"/>
      <c r="O361" s="213">
        <v>20</v>
      </c>
      <c r="P361" s="213"/>
      <c r="Q361" s="213"/>
      <c r="R361" s="213"/>
      <c r="S361" s="406"/>
    </row>
    <row r="362" spans="1:19" s="183" customFormat="1" ht="17.25" customHeight="1">
      <c r="A362" s="214" t="s">
        <v>257</v>
      </c>
      <c r="B362" s="210" t="s">
        <v>491</v>
      </c>
      <c r="C362" s="406">
        <v>30</v>
      </c>
      <c r="D362" s="211"/>
      <c r="E362" s="338">
        <f t="shared" si="223"/>
        <v>30</v>
      </c>
      <c r="F362" s="212">
        <f t="shared" si="193"/>
        <v>0</v>
      </c>
      <c r="G362" s="213">
        <f t="shared" si="221"/>
        <v>30</v>
      </c>
      <c r="H362" s="213">
        <f t="shared" si="222"/>
        <v>30</v>
      </c>
      <c r="I362" s="213"/>
      <c r="J362" s="213">
        <f t="shared" si="224"/>
        <v>0</v>
      </c>
      <c r="K362" s="213"/>
      <c r="L362" s="213"/>
      <c r="M362" s="213">
        <f>N362+O362</f>
        <v>30</v>
      </c>
      <c r="N362" s="213"/>
      <c r="O362" s="213">
        <v>30</v>
      </c>
      <c r="P362" s="213"/>
      <c r="Q362" s="213"/>
      <c r="R362" s="213"/>
      <c r="S362" s="406"/>
    </row>
    <row r="363" spans="1:19" s="183" customFormat="1" ht="17.25" customHeight="1">
      <c r="A363" s="214" t="s">
        <v>257</v>
      </c>
      <c r="B363" s="210" t="s">
        <v>492</v>
      </c>
      <c r="C363" s="406"/>
      <c r="D363" s="211"/>
      <c r="E363" s="338">
        <f t="shared" si="223"/>
        <v>0</v>
      </c>
      <c r="F363" s="212">
        <f t="shared" si="193"/>
        <v>0</v>
      </c>
      <c r="G363" s="213">
        <f t="shared" si="221"/>
        <v>0</v>
      </c>
      <c r="H363" s="213">
        <f t="shared" si="222"/>
        <v>0</v>
      </c>
      <c r="I363" s="213"/>
      <c r="J363" s="213">
        <f t="shared" si="224"/>
        <v>0</v>
      </c>
      <c r="K363" s="213"/>
      <c r="L363" s="213"/>
      <c r="M363" s="213">
        <f>N363+O363</f>
        <v>0</v>
      </c>
      <c r="N363" s="213"/>
      <c r="O363" s="213"/>
      <c r="P363" s="213"/>
      <c r="Q363" s="213"/>
      <c r="R363" s="213"/>
      <c r="S363" s="406"/>
    </row>
    <row r="364" spans="1:19" s="183" customFormat="1" ht="17.25" customHeight="1">
      <c r="A364" s="209" t="s">
        <v>226</v>
      </c>
      <c r="B364" s="210" t="s">
        <v>493</v>
      </c>
      <c r="C364" s="406">
        <f>SUM(C365:C370)</f>
        <v>600.65000000000009</v>
      </c>
      <c r="D364" s="211"/>
      <c r="E364" s="338">
        <f>SUM(E365:E370)</f>
        <v>582.45802000000003</v>
      </c>
      <c r="F364" s="212">
        <f t="shared" si="193"/>
        <v>-18.191980000000058</v>
      </c>
      <c r="G364" s="213">
        <f t="shared" ref="G364:R364" si="225">SUM(G365:G370)</f>
        <v>582.45802000000003</v>
      </c>
      <c r="H364" s="213">
        <f t="shared" si="225"/>
        <v>582.45802000000003</v>
      </c>
      <c r="I364" s="213">
        <f t="shared" si="225"/>
        <v>4</v>
      </c>
      <c r="J364" s="213">
        <f t="shared" si="225"/>
        <v>429.85802000000001</v>
      </c>
      <c r="K364" s="213">
        <f t="shared" si="225"/>
        <v>0</v>
      </c>
      <c r="L364" s="213">
        <f t="shared" si="225"/>
        <v>0</v>
      </c>
      <c r="M364" s="213">
        <f t="shared" si="225"/>
        <v>152.60000000000002</v>
      </c>
      <c r="N364" s="213">
        <f t="shared" si="225"/>
        <v>102.60000000000001</v>
      </c>
      <c r="O364" s="213">
        <f t="shared" si="225"/>
        <v>50</v>
      </c>
      <c r="P364" s="213">
        <f t="shared" si="225"/>
        <v>0</v>
      </c>
      <c r="Q364" s="213">
        <f t="shared" si="225"/>
        <v>0</v>
      </c>
      <c r="R364" s="213">
        <f t="shared" si="225"/>
        <v>0</v>
      </c>
      <c r="S364" s="406" t="s">
        <v>493</v>
      </c>
    </row>
    <row r="365" spans="1:19" s="183" customFormat="1" ht="16.5" customHeight="1">
      <c r="A365" s="214" t="s">
        <v>257</v>
      </c>
      <c r="B365" s="210" t="s">
        <v>686</v>
      </c>
      <c r="C365" s="406">
        <v>419.286</v>
      </c>
      <c r="D365" s="211"/>
      <c r="E365" s="338">
        <f t="shared" ref="E365:E370" si="226">G365+R365</f>
        <v>424.49802</v>
      </c>
      <c r="F365" s="212">
        <f t="shared" si="193"/>
        <v>5.2120199999999954</v>
      </c>
      <c r="G365" s="213">
        <f t="shared" ref="G365:G370" si="227">H365+P365+Q365</f>
        <v>424.49802</v>
      </c>
      <c r="H365" s="213">
        <f t="shared" ref="H365:H370" si="228">J365+M365</f>
        <v>424.49802</v>
      </c>
      <c r="I365" s="213">
        <v>4</v>
      </c>
      <c r="J365" s="213">
        <f>429.86202-5.364</f>
        <v>424.49802</v>
      </c>
      <c r="K365" s="213"/>
      <c r="L365" s="213"/>
      <c r="M365" s="213">
        <f t="shared" si="208"/>
        <v>0</v>
      </c>
      <c r="N365" s="213"/>
      <c r="O365" s="213"/>
      <c r="P365" s="213"/>
      <c r="Q365" s="213"/>
      <c r="R365" s="213"/>
      <c r="S365" s="406"/>
    </row>
    <row r="366" spans="1:19" s="183" customFormat="1" ht="16.5" customHeight="1">
      <c r="A366" s="214" t="s">
        <v>257</v>
      </c>
      <c r="B366" s="210" t="s">
        <v>663</v>
      </c>
      <c r="C366" s="406">
        <v>117</v>
      </c>
      <c r="D366" s="211"/>
      <c r="E366" s="338">
        <f t="shared" si="226"/>
        <v>93.600000000000009</v>
      </c>
      <c r="F366" s="212">
        <f t="shared" si="193"/>
        <v>-23.399999999999991</v>
      </c>
      <c r="G366" s="213">
        <f t="shared" si="227"/>
        <v>93.600000000000009</v>
      </c>
      <c r="H366" s="213">
        <f t="shared" si="228"/>
        <v>93.600000000000009</v>
      </c>
      <c r="I366" s="213"/>
      <c r="J366" s="213">
        <f t="shared" si="224"/>
        <v>0</v>
      </c>
      <c r="K366" s="213"/>
      <c r="L366" s="213"/>
      <c r="M366" s="213">
        <f t="shared" si="208"/>
        <v>93.600000000000009</v>
      </c>
      <c r="N366" s="213">
        <f>4*18*1.3</f>
        <v>93.600000000000009</v>
      </c>
      <c r="O366" s="213"/>
      <c r="P366" s="213"/>
      <c r="Q366" s="213"/>
      <c r="R366" s="213"/>
      <c r="S366" s="406"/>
    </row>
    <row r="367" spans="1:19" s="183" customFormat="1" ht="16.5" customHeight="1">
      <c r="A367" s="214" t="s">
        <v>257</v>
      </c>
      <c r="B367" s="210" t="s">
        <v>484</v>
      </c>
      <c r="C367" s="406">
        <v>5.3639999999999999</v>
      </c>
      <c r="D367" s="211"/>
      <c r="E367" s="338">
        <f t="shared" si="226"/>
        <v>5.36</v>
      </c>
      <c r="F367" s="212">
        <f t="shared" si="193"/>
        <v>-3.9999999999995595E-3</v>
      </c>
      <c r="G367" s="213">
        <f t="shared" si="227"/>
        <v>5.36</v>
      </c>
      <c r="H367" s="213">
        <f t="shared" si="228"/>
        <v>5.36</v>
      </c>
      <c r="I367" s="213"/>
      <c r="J367" s="213">
        <v>5.36</v>
      </c>
      <c r="K367" s="213"/>
      <c r="L367" s="213"/>
      <c r="M367" s="213">
        <f t="shared" si="208"/>
        <v>0</v>
      </c>
      <c r="N367" s="213"/>
      <c r="O367" s="213"/>
      <c r="P367" s="213"/>
      <c r="Q367" s="213"/>
      <c r="R367" s="213"/>
      <c r="S367" s="406"/>
    </row>
    <row r="368" spans="1:19" s="183" customFormat="1" ht="32.25" customHeight="1">
      <c r="A368" s="214" t="s">
        <v>257</v>
      </c>
      <c r="B368" s="215" t="s">
        <v>426</v>
      </c>
      <c r="C368" s="406">
        <v>9</v>
      </c>
      <c r="D368" s="211"/>
      <c r="E368" s="338">
        <f t="shared" si="226"/>
        <v>9</v>
      </c>
      <c r="F368" s="212">
        <f t="shared" si="193"/>
        <v>0</v>
      </c>
      <c r="G368" s="213">
        <f t="shared" si="227"/>
        <v>9</v>
      </c>
      <c r="H368" s="213">
        <f t="shared" si="228"/>
        <v>9</v>
      </c>
      <c r="I368" s="213"/>
      <c r="J368" s="213">
        <f t="shared" si="224"/>
        <v>0</v>
      </c>
      <c r="K368" s="213"/>
      <c r="L368" s="213"/>
      <c r="M368" s="213">
        <f>N368+O368</f>
        <v>9</v>
      </c>
      <c r="N368" s="213">
        <v>9</v>
      </c>
      <c r="O368" s="213"/>
      <c r="P368" s="213"/>
      <c r="Q368" s="213"/>
      <c r="R368" s="213"/>
      <c r="S368" s="406"/>
    </row>
    <row r="369" spans="1:19" s="183" customFormat="1" ht="30" customHeight="1">
      <c r="A369" s="214" t="s">
        <v>257</v>
      </c>
      <c r="B369" s="215" t="s">
        <v>751</v>
      </c>
      <c r="C369" s="406">
        <v>50</v>
      </c>
      <c r="D369" s="211"/>
      <c r="E369" s="338">
        <f t="shared" si="226"/>
        <v>50</v>
      </c>
      <c r="F369" s="212">
        <f t="shared" si="193"/>
        <v>0</v>
      </c>
      <c r="G369" s="213">
        <f t="shared" si="227"/>
        <v>50</v>
      </c>
      <c r="H369" s="213">
        <f t="shared" si="228"/>
        <v>50</v>
      </c>
      <c r="I369" s="213"/>
      <c r="J369" s="213">
        <f t="shared" si="224"/>
        <v>0</v>
      </c>
      <c r="K369" s="213"/>
      <c r="L369" s="213"/>
      <c r="M369" s="213">
        <f>N369+O369</f>
        <v>50</v>
      </c>
      <c r="N369" s="213"/>
      <c r="O369" s="213">
        <v>50</v>
      </c>
      <c r="P369" s="213"/>
      <c r="Q369" s="213"/>
      <c r="R369" s="213"/>
      <c r="S369" s="406"/>
    </row>
    <row r="370" spans="1:19" s="183" customFormat="1" ht="16.5" customHeight="1">
      <c r="A370" s="214" t="s">
        <v>257</v>
      </c>
      <c r="B370" s="210" t="s">
        <v>562</v>
      </c>
      <c r="C370" s="406"/>
      <c r="D370" s="211"/>
      <c r="E370" s="338">
        <f t="shared" si="226"/>
        <v>0</v>
      </c>
      <c r="F370" s="212">
        <f t="shared" si="193"/>
        <v>0</v>
      </c>
      <c r="G370" s="213">
        <f t="shared" si="227"/>
        <v>0</v>
      </c>
      <c r="H370" s="213">
        <f t="shared" si="228"/>
        <v>0</v>
      </c>
      <c r="I370" s="213"/>
      <c r="J370" s="213">
        <f>K370+L370</f>
        <v>0</v>
      </c>
      <c r="K370" s="213"/>
      <c r="L370" s="213"/>
      <c r="M370" s="213">
        <f>N370+O370</f>
        <v>0</v>
      </c>
      <c r="N370" s="213"/>
      <c r="O370" s="213"/>
      <c r="P370" s="213"/>
      <c r="Q370" s="213"/>
      <c r="R370" s="213"/>
      <c r="S370" s="406"/>
    </row>
    <row r="371" spans="1:19" s="183" customFormat="1" ht="17.25" customHeight="1">
      <c r="A371" s="209" t="s">
        <v>494</v>
      </c>
      <c r="B371" s="210" t="s">
        <v>495</v>
      </c>
      <c r="C371" s="406">
        <f>SUM(C372:C376)</f>
        <v>510.87399999999997</v>
      </c>
      <c r="D371" s="211"/>
      <c r="E371" s="338">
        <f>SUM(E372:E378)</f>
        <v>439.96800000000002</v>
      </c>
      <c r="F371" s="212">
        <f t="shared" si="193"/>
        <v>-70.905999999999949</v>
      </c>
      <c r="G371" s="406">
        <f t="shared" ref="G371:R371" si="229">SUM(G372:G378)</f>
        <v>439.96800000000002</v>
      </c>
      <c r="H371" s="406">
        <f t="shared" si="229"/>
        <v>439.96800000000002</v>
      </c>
      <c r="I371" s="406">
        <f t="shared" si="229"/>
        <v>3</v>
      </c>
      <c r="J371" s="406">
        <f t="shared" si="229"/>
        <v>260.76799999999997</v>
      </c>
      <c r="K371" s="406">
        <f t="shared" si="229"/>
        <v>0</v>
      </c>
      <c r="L371" s="406">
        <f t="shared" si="229"/>
        <v>0</v>
      </c>
      <c r="M371" s="406">
        <f t="shared" si="229"/>
        <v>179.2</v>
      </c>
      <c r="N371" s="406">
        <f t="shared" si="229"/>
        <v>79.2</v>
      </c>
      <c r="O371" s="406">
        <f t="shared" si="229"/>
        <v>100</v>
      </c>
      <c r="P371" s="406">
        <f t="shared" si="229"/>
        <v>0</v>
      </c>
      <c r="Q371" s="406">
        <f t="shared" si="229"/>
        <v>0</v>
      </c>
      <c r="R371" s="406">
        <f t="shared" si="229"/>
        <v>0</v>
      </c>
      <c r="S371" s="406" t="s">
        <v>495</v>
      </c>
    </row>
    <row r="372" spans="1:19" s="183" customFormat="1" ht="16.5" customHeight="1">
      <c r="A372" s="214" t="s">
        <v>257</v>
      </c>
      <c r="B372" s="210" t="s">
        <v>496</v>
      </c>
      <c r="C372" s="406">
        <v>326.31</v>
      </c>
      <c r="D372" s="211"/>
      <c r="E372" s="338">
        <f t="shared" ref="E372:E378" si="230">G372+R372</f>
        <v>255.40799999999999</v>
      </c>
      <c r="F372" s="212">
        <f t="shared" si="193"/>
        <v>-70.902000000000015</v>
      </c>
      <c r="G372" s="213">
        <f t="shared" ref="G372:G378" si="231">H372+P372+Q372</f>
        <v>255.40799999999999</v>
      </c>
      <c r="H372" s="213">
        <f t="shared" ref="H372:H378" si="232">J372+M372</f>
        <v>255.40799999999999</v>
      </c>
      <c r="I372" s="213">
        <v>3</v>
      </c>
      <c r="J372" s="213">
        <f>260.772-5.364</f>
        <v>255.40799999999999</v>
      </c>
      <c r="K372" s="213"/>
      <c r="L372" s="213"/>
      <c r="M372" s="213">
        <f t="shared" si="208"/>
        <v>0</v>
      </c>
      <c r="N372" s="213"/>
      <c r="O372" s="213"/>
      <c r="P372" s="213"/>
      <c r="Q372" s="213"/>
      <c r="R372" s="213"/>
      <c r="S372" s="406"/>
    </row>
    <row r="373" spans="1:19" s="183" customFormat="1" ht="16.5" customHeight="1">
      <c r="A373" s="214" t="s">
        <v>257</v>
      </c>
      <c r="B373" s="210" t="s">
        <v>664</v>
      </c>
      <c r="C373" s="406">
        <v>70.2</v>
      </c>
      <c r="D373" s="211"/>
      <c r="E373" s="338">
        <f t="shared" si="230"/>
        <v>70.2</v>
      </c>
      <c r="F373" s="212">
        <f t="shared" si="193"/>
        <v>0</v>
      </c>
      <c r="G373" s="213">
        <f t="shared" si="231"/>
        <v>70.2</v>
      </c>
      <c r="H373" s="213">
        <f t="shared" si="232"/>
        <v>70.2</v>
      </c>
      <c r="I373" s="213"/>
      <c r="J373" s="213">
        <f t="shared" si="224"/>
        <v>0</v>
      </c>
      <c r="K373" s="213"/>
      <c r="L373" s="213"/>
      <c r="M373" s="213">
        <f t="shared" si="208"/>
        <v>70.2</v>
      </c>
      <c r="N373" s="213">
        <f>3*18*1.3</f>
        <v>70.2</v>
      </c>
      <c r="O373" s="213"/>
      <c r="P373" s="213"/>
      <c r="Q373" s="213"/>
      <c r="R373" s="213"/>
      <c r="S373" s="406"/>
    </row>
    <row r="374" spans="1:19" s="183" customFormat="1" ht="16.5" customHeight="1">
      <c r="A374" s="214" t="s">
        <v>257</v>
      </c>
      <c r="B374" s="210" t="s">
        <v>484</v>
      </c>
      <c r="C374" s="406">
        <v>5.3639999999999999</v>
      </c>
      <c r="D374" s="211"/>
      <c r="E374" s="338">
        <f t="shared" si="230"/>
        <v>5.36</v>
      </c>
      <c r="F374" s="212">
        <f t="shared" si="193"/>
        <v>-3.9999999999995595E-3</v>
      </c>
      <c r="G374" s="213">
        <f t="shared" si="231"/>
        <v>5.36</v>
      </c>
      <c r="H374" s="213">
        <f t="shared" si="232"/>
        <v>5.36</v>
      </c>
      <c r="I374" s="213"/>
      <c r="J374" s="213">
        <v>5.36</v>
      </c>
      <c r="K374" s="213"/>
      <c r="L374" s="213"/>
      <c r="M374" s="213">
        <f t="shared" si="208"/>
        <v>0</v>
      </c>
      <c r="N374" s="213"/>
      <c r="O374" s="213"/>
      <c r="P374" s="213"/>
      <c r="Q374" s="213"/>
      <c r="R374" s="213"/>
      <c r="S374" s="406"/>
    </row>
    <row r="375" spans="1:19" s="183" customFormat="1" ht="30" customHeight="1">
      <c r="A375" s="214" t="s">
        <v>257</v>
      </c>
      <c r="B375" s="215" t="s">
        <v>292</v>
      </c>
      <c r="C375" s="406">
        <v>9</v>
      </c>
      <c r="D375" s="211"/>
      <c r="E375" s="338">
        <f t="shared" si="230"/>
        <v>9</v>
      </c>
      <c r="F375" s="212">
        <f t="shared" si="193"/>
        <v>0</v>
      </c>
      <c r="G375" s="213">
        <f t="shared" si="231"/>
        <v>9</v>
      </c>
      <c r="H375" s="213">
        <f t="shared" si="232"/>
        <v>9</v>
      </c>
      <c r="I375" s="213"/>
      <c r="J375" s="213">
        <f t="shared" si="224"/>
        <v>0</v>
      </c>
      <c r="K375" s="213"/>
      <c r="L375" s="213"/>
      <c r="M375" s="213">
        <f t="shared" si="208"/>
        <v>9</v>
      </c>
      <c r="N375" s="213">
        <v>9</v>
      </c>
      <c r="O375" s="213"/>
      <c r="P375" s="213"/>
      <c r="Q375" s="213"/>
      <c r="R375" s="213"/>
      <c r="S375" s="406"/>
    </row>
    <row r="376" spans="1:19" s="183" customFormat="1" ht="29.25" customHeight="1">
      <c r="A376" s="214" t="s">
        <v>257</v>
      </c>
      <c r="B376" s="215" t="s">
        <v>497</v>
      </c>
      <c r="C376" s="406">
        <v>100</v>
      </c>
      <c r="D376" s="211"/>
      <c r="E376" s="338">
        <f t="shared" si="230"/>
        <v>100</v>
      </c>
      <c r="F376" s="212">
        <f t="shared" si="193"/>
        <v>0</v>
      </c>
      <c r="G376" s="213">
        <f t="shared" si="231"/>
        <v>100</v>
      </c>
      <c r="H376" s="213">
        <f t="shared" si="232"/>
        <v>100</v>
      </c>
      <c r="I376" s="213"/>
      <c r="J376" s="213">
        <f t="shared" si="224"/>
        <v>0</v>
      </c>
      <c r="K376" s="213"/>
      <c r="L376" s="213"/>
      <c r="M376" s="213">
        <f t="shared" si="208"/>
        <v>100</v>
      </c>
      <c r="N376" s="213"/>
      <c r="O376" s="213">
        <v>100</v>
      </c>
      <c r="P376" s="213"/>
      <c r="Q376" s="213"/>
      <c r="R376" s="213"/>
      <c r="S376" s="406"/>
    </row>
    <row r="377" spans="1:19" s="183" customFormat="1" ht="18.75" customHeight="1">
      <c r="A377" s="214" t="s">
        <v>257</v>
      </c>
      <c r="B377" s="215" t="s">
        <v>787</v>
      </c>
      <c r="C377" s="406"/>
      <c r="D377" s="211"/>
      <c r="E377" s="338">
        <f t="shared" si="230"/>
        <v>0</v>
      </c>
      <c r="F377" s="212">
        <f t="shared" si="193"/>
        <v>0</v>
      </c>
      <c r="G377" s="213">
        <f t="shared" si="231"/>
        <v>0</v>
      </c>
      <c r="H377" s="213">
        <f t="shared" si="232"/>
        <v>0</v>
      </c>
      <c r="I377" s="213"/>
      <c r="J377" s="213"/>
      <c r="K377" s="213"/>
      <c r="L377" s="213"/>
      <c r="M377" s="213">
        <f t="shared" si="208"/>
        <v>0</v>
      </c>
      <c r="N377" s="213"/>
      <c r="O377" s="213"/>
      <c r="P377" s="213"/>
      <c r="Q377" s="213"/>
      <c r="R377" s="213"/>
      <c r="S377" s="406"/>
    </row>
    <row r="378" spans="1:19" s="183" customFormat="1" ht="18.75" customHeight="1">
      <c r="A378" s="214" t="s">
        <v>257</v>
      </c>
      <c r="B378" s="215" t="s">
        <v>563</v>
      </c>
      <c r="C378" s="406"/>
      <c r="D378" s="211"/>
      <c r="E378" s="338">
        <f t="shared" si="230"/>
        <v>0</v>
      </c>
      <c r="F378" s="212">
        <f t="shared" si="193"/>
        <v>0</v>
      </c>
      <c r="G378" s="213">
        <f t="shared" si="231"/>
        <v>0</v>
      </c>
      <c r="H378" s="213">
        <f t="shared" si="232"/>
        <v>0</v>
      </c>
      <c r="I378" s="213"/>
      <c r="J378" s="213"/>
      <c r="K378" s="213"/>
      <c r="L378" s="213"/>
      <c r="M378" s="213">
        <f t="shared" si="208"/>
        <v>0</v>
      </c>
      <c r="N378" s="213"/>
      <c r="O378" s="213"/>
      <c r="P378" s="213"/>
      <c r="Q378" s="213"/>
      <c r="R378" s="213"/>
      <c r="S378" s="406"/>
    </row>
    <row r="379" spans="1:19" s="183" customFormat="1" ht="17.25" customHeight="1">
      <c r="A379" s="209" t="s">
        <v>498</v>
      </c>
      <c r="B379" s="210" t="s">
        <v>380</v>
      </c>
      <c r="C379" s="406">
        <f>SUM(C380:C384)</f>
        <v>531.529</v>
      </c>
      <c r="D379" s="211"/>
      <c r="E379" s="338">
        <f>SUM(E380:E385)</f>
        <v>543.19100000000003</v>
      </c>
      <c r="F379" s="212">
        <f t="shared" si="193"/>
        <v>11.662000000000035</v>
      </c>
      <c r="G379" s="406">
        <f t="shared" ref="G379:R379" si="233">SUM(G380:G385)</f>
        <v>543.19100000000003</v>
      </c>
      <c r="H379" s="406">
        <f t="shared" si="233"/>
        <v>543.19100000000003</v>
      </c>
      <c r="I379" s="406">
        <f t="shared" si="233"/>
        <v>4</v>
      </c>
      <c r="J379" s="406">
        <f t="shared" si="233"/>
        <v>430.59100000000007</v>
      </c>
      <c r="K379" s="406">
        <f t="shared" si="233"/>
        <v>0</v>
      </c>
      <c r="L379" s="406">
        <f t="shared" si="233"/>
        <v>0</v>
      </c>
      <c r="M379" s="406">
        <f t="shared" si="233"/>
        <v>112.60000000000001</v>
      </c>
      <c r="N379" s="406">
        <f t="shared" si="233"/>
        <v>102.60000000000001</v>
      </c>
      <c r="O379" s="406">
        <f t="shared" si="233"/>
        <v>10</v>
      </c>
      <c r="P379" s="406">
        <f t="shared" si="233"/>
        <v>0</v>
      </c>
      <c r="Q379" s="406">
        <f t="shared" si="233"/>
        <v>0</v>
      </c>
      <c r="R379" s="406">
        <f t="shared" si="233"/>
        <v>0</v>
      </c>
      <c r="S379" s="406" t="s">
        <v>380</v>
      </c>
    </row>
    <row r="380" spans="1:19" s="183" customFormat="1" ht="29.25" customHeight="1">
      <c r="A380" s="214" t="s">
        <v>257</v>
      </c>
      <c r="B380" s="215" t="s">
        <v>499</v>
      </c>
      <c r="C380" s="406">
        <v>413.565</v>
      </c>
      <c r="D380" s="211"/>
      <c r="E380" s="338">
        <f t="shared" ref="E380:E388" si="234">G380+R380</f>
        <v>425.23100000000005</v>
      </c>
      <c r="F380" s="212">
        <f t="shared" si="193"/>
        <v>11.666000000000054</v>
      </c>
      <c r="G380" s="213">
        <f t="shared" ref="G380:G388" si="235">H380+P380+Q380</f>
        <v>425.23100000000005</v>
      </c>
      <c r="H380" s="213">
        <f t="shared" ref="H380:H388" si="236">J380+M380</f>
        <v>425.23100000000005</v>
      </c>
      <c r="I380" s="213">
        <v>4</v>
      </c>
      <c r="J380" s="213">
        <f>430.595-5.364</f>
        <v>425.23100000000005</v>
      </c>
      <c r="K380" s="213"/>
      <c r="L380" s="213"/>
      <c r="M380" s="213">
        <f t="shared" si="208"/>
        <v>0</v>
      </c>
      <c r="N380" s="213"/>
      <c r="O380" s="213"/>
      <c r="P380" s="213"/>
      <c r="Q380" s="213"/>
      <c r="R380" s="213"/>
      <c r="S380" s="406"/>
    </row>
    <row r="381" spans="1:19" s="183" customFormat="1" ht="17.25" customHeight="1">
      <c r="A381" s="214" t="s">
        <v>257</v>
      </c>
      <c r="B381" s="210" t="s">
        <v>663</v>
      </c>
      <c r="C381" s="406">
        <v>93.6</v>
      </c>
      <c r="D381" s="211"/>
      <c r="E381" s="338">
        <f t="shared" si="234"/>
        <v>93.600000000000009</v>
      </c>
      <c r="F381" s="212">
        <f t="shared" ref="F381:F428" si="237">E381-C381</f>
        <v>0</v>
      </c>
      <c r="G381" s="213">
        <f t="shared" si="235"/>
        <v>93.600000000000009</v>
      </c>
      <c r="H381" s="213">
        <f t="shared" si="236"/>
        <v>93.600000000000009</v>
      </c>
      <c r="I381" s="213"/>
      <c r="J381" s="213">
        <f t="shared" si="224"/>
        <v>0</v>
      </c>
      <c r="K381" s="213"/>
      <c r="L381" s="213"/>
      <c r="M381" s="213">
        <f t="shared" si="208"/>
        <v>93.600000000000009</v>
      </c>
      <c r="N381" s="213">
        <f>4*18*1.3</f>
        <v>93.600000000000009</v>
      </c>
      <c r="O381" s="213"/>
      <c r="P381" s="213"/>
      <c r="Q381" s="213"/>
      <c r="R381" s="213"/>
      <c r="S381" s="248"/>
    </row>
    <row r="382" spans="1:19" s="183" customFormat="1" ht="17.25" customHeight="1">
      <c r="A382" s="214" t="s">
        <v>257</v>
      </c>
      <c r="B382" s="210" t="s">
        <v>500</v>
      </c>
      <c r="C382" s="406">
        <v>5.3639999999999999</v>
      </c>
      <c r="D382" s="211"/>
      <c r="E382" s="338">
        <f t="shared" si="234"/>
        <v>5.36</v>
      </c>
      <c r="F382" s="212">
        <f t="shared" si="237"/>
        <v>-3.9999999999995595E-3</v>
      </c>
      <c r="G382" s="213">
        <f t="shared" si="235"/>
        <v>5.36</v>
      </c>
      <c r="H382" s="213">
        <f t="shared" si="236"/>
        <v>5.36</v>
      </c>
      <c r="I382" s="213"/>
      <c r="J382" s="213">
        <v>5.36</v>
      </c>
      <c r="K382" s="213"/>
      <c r="L382" s="213"/>
      <c r="M382" s="213">
        <f t="shared" si="208"/>
        <v>0</v>
      </c>
      <c r="N382" s="213"/>
      <c r="O382" s="213"/>
      <c r="P382" s="213"/>
      <c r="Q382" s="213"/>
      <c r="R382" s="213"/>
      <c r="S382" s="406"/>
    </row>
    <row r="383" spans="1:19" s="183" customFormat="1" ht="27.75" customHeight="1">
      <c r="A383" s="214" t="s">
        <v>257</v>
      </c>
      <c r="B383" s="215" t="s">
        <v>292</v>
      </c>
      <c r="C383" s="406">
        <v>9</v>
      </c>
      <c r="D383" s="211"/>
      <c r="E383" s="338">
        <f t="shared" si="234"/>
        <v>9</v>
      </c>
      <c r="F383" s="212">
        <f t="shared" si="237"/>
        <v>0</v>
      </c>
      <c r="G383" s="213">
        <f t="shared" si="235"/>
        <v>9</v>
      </c>
      <c r="H383" s="213">
        <f t="shared" si="236"/>
        <v>9</v>
      </c>
      <c r="I383" s="213"/>
      <c r="J383" s="213">
        <f t="shared" si="224"/>
        <v>0</v>
      </c>
      <c r="K383" s="213"/>
      <c r="L383" s="213"/>
      <c r="M383" s="213">
        <f t="shared" si="208"/>
        <v>9</v>
      </c>
      <c r="N383" s="213">
        <v>9</v>
      </c>
      <c r="O383" s="213">
        <v>0</v>
      </c>
      <c r="P383" s="213"/>
      <c r="Q383" s="213"/>
      <c r="R383" s="213"/>
      <c r="S383" s="406"/>
    </row>
    <row r="384" spans="1:19" s="183" customFormat="1" ht="21" customHeight="1">
      <c r="A384" s="209" t="s">
        <v>257</v>
      </c>
      <c r="B384" s="249" t="s">
        <v>501</v>
      </c>
      <c r="C384" s="406">
        <v>10</v>
      </c>
      <c r="D384" s="211"/>
      <c r="E384" s="338">
        <f t="shared" si="234"/>
        <v>10</v>
      </c>
      <c r="F384" s="212">
        <f t="shared" si="237"/>
        <v>0</v>
      </c>
      <c r="G384" s="213">
        <f>H384+P384+Q384</f>
        <v>10</v>
      </c>
      <c r="H384" s="213">
        <f>J384+M384</f>
        <v>10</v>
      </c>
      <c r="I384" s="213"/>
      <c r="J384" s="213">
        <f>K384+L384</f>
        <v>0</v>
      </c>
      <c r="K384" s="213"/>
      <c r="L384" s="213"/>
      <c r="M384" s="213">
        <f>N384+O384</f>
        <v>10</v>
      </c>
      <c r="N384" s="213"/>
      <c r="O384" s="213">
        <v>10</v>
      </c>
      <c r="P384" s="213"/>
      <c r="Q384" s="213"/>
      <c r="R384" s="213"/>
      <c r="S384" s="406"/>
    </row>
    <row r="385" spans="1:19" s="183" customFormat="1" ht="32.25" customHeight="1">
      <c r="A385" s="214" t="s">
        <v>257</v>
      </c>
      <c r="B385" s="250" t="s">
        <v>567</v>
      </c>
      <c r="C385" s="406"/>
      <c r="D385" s="211"/>
      <c r="E385" s="338">
        <f t="shared" si="234"/>
        <v>0</v>
      </c>
      <c r="F385" s="212">
        <f t="shared" si="237"/>
        <v>0</v>
      </c>
      <c r="G385" s="213">
        <f t="shared" si="235"/>
        <v>0</v>
      </c>
      <c r="H385" s="213">
        <f t="shared" si="236"/>
        <v>0</v>
      </c>
      <c r="I385" s="213"/>
      <c r="J385" s="213"/>
      <c r="K385" s="213"/>
      <c r="L385" s="213"/>
      <c r="M385" s="213">
        <f t="shared" si="208"/>
        <v>0</v>
      </c>
      <c r="N385" s="213"/>
      <c r="O385" s="213"/>
      <c r="P385" s="213"/>
      <c r="Q385" s="213"/>
      <c r="R385" s="213"/>
      <c r="S385" s="406"/>
    </row>
    <row r="386" spans="1:19" s="183" customFormat="1" ht="30.75" customHeight="1">
      <c r="A386" s="209" t="s">
        <v>502</v>
      </c>
      <c r="B386" s="251" t="s">
        <v>702</v>
      </c>
      <c r="C386" s="406">
        <v>444.98</v>
      </c>
      <c r="D386" s="211"/>
      <c r="E386" s="338">
        <f t="shared" si="234"/>
        <v>344.98</v>
      </c>
      <c r="F386" s="212">
        <f t="shared" si="237"/>
        <v>-100</v>
      </c>
      <c r="G386" s="213">
        <f t="shared" si="235"/>
        <v>344.98</v>
      </c>
      <c r="H386" s="213">
        <f t="shared" si="236"/>
        <v>344.98</v>
      </c>
      <c r="I386" s="213">
        <v>3</v>
      </c>
      <c r="J386" s="213">
        <v>308.98</v>
      </c>
      <c r="K386" s="213"/>
      <c r="L386" s="213"/>
      <c r="M386" s="213">
        <f>N386+O386</f>
        <v>36</v>
      </c>
      <c r="N386" s="213">
        <v>36</v>
      </c>
      <c r="O386" s="213">
        <v>0</v>
      </c>
      <c r="P386" s="213"/>
      <c r="Q386" s="213"/>
      <c r="R386" s="213"/>
      <c r="S386" s="406" t="s">
        <v>503</v>
      </c>
    </row>
    <row r="387" spans="1:19" s="183" customFormat="1" ht="12.75" hidden="1">
      <c r="A387" s="209"/>
      <c r="B387" s="210"/>
      <c r="C387" s="406"/>
      <c r="D387" s="211"/>
      <c r="E387" s="338">
        <f t="shared" si="234"/>
        <v>0</v>
      </c>
      <c r="F387" s="212">
        <f t="shared" si="237"/>
        <v>0</v>
      </c>
      <c r="G387" s="213">
        <f t="shared" si="235"/>
        <v>0</v>
      </c>
      <c r="H387" s="213">
        <f t="shared" si="236"/>
        <v>0</v>
      </c>
      <c r="I387" s="213"/>
      <c r="J387" s="213">
        <f>K387+L387</f>
        <v>0</v>
      </c>
      <c r="K387" s="213"/>
      <c r="L387" s="213"/>
      <c r="M387" s="213">
        <f>N387+O387</f>
        <v>0</v>
      </c>
      <c r="N387" s="213"/>
      <c r="O387" s="213"/>
      <c r="P387" s="213"/>
      <c r="Q387" s="213"/>
      <c r="R387" s="213"/>
      <c r="S387" s="406"/>
    </row>
    <row r="388" spans="1:19" s="183" customFormat="1" ht="12.75" hidden="1">
      <c r="A388" s="209" t="s">
        <v>683</v>
      </c>
      <c r="B388" s="210"/>
      <c r="C388" s="406"/>
      <c r="D388" s="211"/>
      <c r="E388" s="338">
        <f t="shared" si="234"/>
        <v>0</v>
      </c>
      <c r="F388" s="212">
        <f t="shared" si="237"/>
        <v>0</v>
      </c>
      <c r="G388" s="213">
        <f t="shared" si="235"/>
        <v>0</v>
      </c>
      <c r="H388" s="213">
        <f t="shared" si="236"/>
        <v>0</v>
      </c>
      <c r="I388" s="213"/>
      <c r="J388" s="213">
        <f t="shared" si="224"/>
        <v>0</v>
      </c>
      <c r="K388" s="213"/>
      <c r="L388" s="213"/>
      <c r="M388" s="213">
        <f t="shared" si="208"/>
        <v>0</v>
      </c>
      <c r="N388" s="213"/>
      <c r="O388" s="213"/>
      <c r="P388" s="213"/>
      <c r="Q388" s="213"/>
      <c r="R388" s="213"/>
      <c r="S388" s="406"/>
    </row>
    <row r="389" spans="1:19" s="183" customFormat="1" ht="12.75">
      <c r="A389" s="209" t="s">
        <v>504</v>
      </c>
      <c r="B389" s="210" t="s">
        <v>505</v>
      </c>
      <c r="C389" s="406">
        <f>C390+C396</f>
        <v>4914.6900000000005</v>
      </c>
      <c r="D389" s="211"/>
      <c r="E389" s="338">
        <f>E390+E396</f>
        <v>4056.7730000000001</v>
      </c>
      <c r="F389" s="212">
        <f t="shared" si="237"/>
        <v>-857.91700000000037</v>
      </c>
      <c r="G389" s="213">
        <f>G390+G396</f>
        <v>4056.7730000000001</v>
      </c>
      <c r="H389" s="213">
        <f>H390+H396</f>
        <v>4056.7730000000001</v>
      </c>
      <c r="I389" s="213">
        <f>I390+I396</f>
        <v>0</v>
      </c>
      <c r="J389" s="213">
        <f>J390+J396</f>
        <v>0</v>
      </c>
      <c r="K389" s="213">
        <f>K390+K396</f>
        <v>0</v>
      </c>
      <c r="L389" s="213"/>
      <c r="M389" s="213">
        <f t="shared" ref="M389:R389" si="238">M390+M396</f>
        <v>4056.7730000000001</v>
      </c>
      <c r="N389" s="213">
        <f t="shared" si="238"/>
        <v>0</v>
      </c>
      <c r="O389" s="213">
        <f t="shared" si="238"/>
        <v>4056.7730000000001</v>
      </c>
      <c r="P389" s="213">
        <f t="shared" si="238"/>
        <v>0</v>
      </c>
      <c r="Q389" s="213">
        <f t="shared" si="238"/>
        <v>0</v>
      </c>
      <c r="R389" s="213">
        <f t="shared" si="238"/>
        <v>0</v>
      </c>
      <c r="S389" s="406"/>
    </row>
    <row r="390" spans="1:19" s="183" customFormat="1" ht="17.25" customHeight="1">
      <c r="A390" s="209" t="s">
        <v>204</v>
      </c>
      <c r="B390" s="210" t="s">
        <v>506</v>
      </c>
      <c r="C390" s="406">
        <f>SUM(C391:C395)</f>
        <v>3424.69</v>
      </c>
      <c r="D390" s="252" t="s">
        <v>507</v>
      </c>
      <c r="E390" s="338">
        <f>SUM(E391:E395)</f>
        <v>2266.7730000000001</v>
      </c>
      <c r="F390" s="212">
        <f t="shared" si="237"/>
        <v>-1157.9169999999999</v>
      </c>
      <c r="G390" s="213">
        <f>SUM(G391:G395)</f>
        <v>2266.7730000000001</v>
      </c>
      <c r="H390" s="213">
        <f>SUM(H391:H395)</f>
        <v>2266.7730000000001</v>
      </c>
      <c r="I390" s="213">
        <f>SUM(I391:I395)</f>
        <v>0</v>
      </c>
      <c r="J390" s="213">
        <f>SUM(J391:J395)</f>
        <v>0</v>
      </c>
      <c r="K390" s="213">
        <f>SUM(K391:K395)</f>
        <v>0</v>
      </c>
      <c r="L390" s="213"/>
      <c r="M390" s="213">
        <f t="shared" ref="M390:R390" si="239">SUM(M391:M395)</f>
        <v>2266.7730000000001</v>
      </c>
      <c r="N390" s="213">
        <f t="shared" si="239"/>
        <v>0</v>
      </c>
      <c r="O390" s="213">
        <f t="shared" si="239"/>
        <v>2266.7730000000001</v>
      </c>
      <c r="P390" s="213">
        <f t="shared" si="239"/>
        <v>0</v>
      </c>
      <c r="Q390" s="213">
        <f t="shared" si="239"/>
        <v>0</v>
      </c>
      <c r="R390" s="213">
        <f t="shared" si="239"/>
        <v>0</v>
      </c>
      <c r="S390" s="406" t="s">
        <v>508</v>
      </c>
    </row>
    <row r="391" spans="1:19" s="183" customFormat="1" ht="17.25" customHeight="1">
      <c r="A391" s="214" t="s">
        <v>257</v>
      </c>
      <c r="B391" s="210" t="s">
        <v>509</v>
      </c>
      <c r="C391" s="406">
        <v>680.26</v>
      </c>
      <c r="D391" s="211"/>
      <c r="E391" s="338">
        <f>G391+R391</f>
        <v>464.267</v>
      </c>
      <c r="F391" s="212">
        <f t="shared" si="237"/>
        <v>-215.99299999999999</v>
      </c>
      <c r="G391" s="213">
        <f>H391+P391+Q391</f>
        <v>464.267</v>
      </c>
      <c r="H391" s="213">
        <f>J391+M391</f>
        <v>464.267</v>
      </c>
      <c r="I391" s="213"/>
      <c r="J391" s="213">
        <f t="shared" si="224"/>
        <v>0</v>
      </c>
      <c r="K391" s="213"/>
      <c r="L391" s="213"/>
      <c r="M391" s="213">
        <f t="shared" si="208"/>
        <v>464.267</v>
      </c>
      <c r="N391" s="213"/>
      <c r="O391" s="213">
        <f>393.204+71.063</f>
        <v>464.267</v>
      </c>
      <c r="P391" s="213"/>
      <c r="Q391" s="213"/>
      <c r="R391" s="213"/>
      <c r="S391" s="406"/>
    </row>
    <row r="392" spans="1:19" s="183" customFormat="1" ht="24.75" customHeight="1">
      <c r="A392" s="214" t="s">
        <v>257</v>
      </c>
      <c r="B392" s="215" t="s">
        <v>752</v>
      </c>
      <c r="C392" s="406">
        <v>800.66</v>
      </c>
      <c r="D392" s="211"/>
      <c r="E392" s="338">
        <f>G392+R392</f>
        <v>1251.8848</v>
      </c>
      <c r="F392" s="212">
        <f t="shared" si="237"/>
        <v>451.22480000000007</v>
      </c>
      <c r="G392" s="213">
        <f>H392+P392+Q392</f>
        <v>1251.8848</v>
      </c>
      <c r="H392" s="213">
        <f>J392+M392</f>
        <v>1251.8848</v>
      </c>
      <c r="I392" s="213"/>
      <c r="J392" s="213">
        <f t="shared" si="224"/>
        <v>0</v>
      </c>
      <c r="K392" s="213"/>
      <c r="L392" s="213"/>
      <c r="M392" s="213">
        <f t="shared" si="208"/>
        <v>1251.8848</v>
      </c>
      <c r="N392" s="213"/>
      <c r="O392" s="213">
        <f>1211.8848+40</f>
        <v>1251.8848</v>
      </c>
      <c r="P392" s="213"/>
      <c r="Q392" s="213"/>
      <c r="R392" s="253"/>
      <c r="S392" s="406"/>
    </row>
    <row r="393" spans="1:19" s="183" customFormat="1" ht="17.25" customHeight="1">
      <c r="A393" s="214" t="s">
        <v>257</v>
      </c>
      <c r="B393" s="210" t="s">
        <v>510</v>
      </c>
      <c r="C393" s="406">
        <v>96.37</v>
      </c>
      <c r="D393" s="211"/>
      <c r="E393" s="338">
        <f>G393+R393</f>
        <v>96.373199999999997</v>
      </c>
      <c r="F393" s="212">
        <f t="shared" si="237"/>
        <v>3.1999999999925421E-3</v>
      </c>
      <c r="G393" s="213">
        <f>H393+P393+Q393</f>
        <v>96.373199999999997</v>
      </c>
      <c r="H393" s="213">
        <f>J393+M393</f>
        <v>96.373199999999997</v>
      </c>
      <c r="I393" s="213"/>
      <c r="J393" s="213">
        <f t="shared" si="224"/>
        <v>0</v>
      </c>
      <c r="K393" s="213"/>
      <c r="L393" s="213"/>
      <c r="M393" s="213">
        <f t="shared" si="208"/>
        <v>96.373199999999997</v>
      </c>
      <c r="N393" s="213"/>
      <c r="O393" s="213">
        <v>96.373199999999997</v>
      </c>
      <c r="P393" s="213"/>
      <c r="Q393" s="213"/>
      <c r="R393" s="213"/>
      <c r="S393" s="406"/>
    </row>
    <row r="394" spans="1:19" s="183" customFormat="1" ht="48" customHeight="1">
      <c r="A394" s="214" t="s">
        <v>257</v>
      </c>
      <c r="B394" s="215" t="s">
        <v>703</v>
      </c>
      <c r="C394" s="406">
        <v>547.4</v>
      </c>
      <c r="D394" s="211"/>
      <c r="E394" s="338">
        <f>G394+R394</f>
        <v>454.24799999999999</v>
      </c>
      <c r="F394" s="212">
        <f t="shared" si="237"/>
        <v>-93.151999999999987</v>
      </c>
      <c r="G394" s="213">
        <f>H394+P394+Q394</f>
        <v>454.24799999999999</v>
      </c>
      <c r="H394" s="213">
        <f>J394+M394</f>
        <v>454.24799999999999</v>
      </c>
      <c r="I394" s="213"/>
      <c r="J394" s="213">
        <f>K394+L394</f>
        <v>0</v>
      </c>
      <c r="K394" s="213"/>
      <c r="L394" s="213"/>
      <c r="M394" s="213">
        <f>N394+O394</f>
        <v>454.24799999999999</v>
      </c>
      <c r="N394" s="213"/>
      <c r="O394" s="213">
        <v>454.24799999999999</v>
      </c>
      <c r="P394" s="213"/>
      <c r="Q394" s="213"/>
      <c r="R394" s="213"/>
      <c r="S394" s="254"/>
    </row>
    <row r="395" spans="1:19" s="183" customFormat="1" ht="25.5" customHeight="1">
      <c r="A395" s="214" t="s">
        <v>257</v>
      </c>
      <c r="B395" s="218" t="s">
        <v>778</v>
      </c>
      <c r="C395" s="406">
        <v>1300</v>
      </c>
      <c r="D395" s="211"/>
      <c r="E395" s="338"/>
      <c r="F395" s="212">
        <f t="shared" si="237"/>
        <v>-1300</v>
      </c>
      <c r="G395" s="213"/>
      <c r="H395" s="213"/>
      <c r="I395" s="213"/>
      <c r="J395" s="213"/>
      <c r="K395" s="213"/>
      <c r="L395" s="213"/>
      <c r="M395" s="213"/>
      <c r="N395" s="213"/>
      <c r="O395" s="213"/>
      <c r="P395" s="213"/>
      <c r="Q395" s="213"/>
      <c r="R395" s="213"/>
      <c r="S395" s="406"/>
    </row>
    <row r="396" spans="1:19" s="183" customFormat="1" ht="17.25" customHeight="1">
      <c r="A396" s="209" t="s">
        <v>206</v>
      </c>
      <c r="B396" s="210" t="s">
        <v>511</v>
      </c>
      <c r="C396" s="406">
        <f t="shared" ref="C396:R396" si="240">SUM(C397:C399)</f>
        <v>1490</v>
      </c>
      <c r="D396" s="252" t="s">
        <v>512</v>
      </c>
      <c r="E396" s="338">
        <f>SUM(E397:E399)</f>
        <v>1790</v>
      </c>
      <c r="F396" s="212">
        <f t="shared" si="237"/>
        <v>300</v>
      </c>
      <c r="G396" s="213">
        <f t="shared" si="240"/>
        <v>1790</v>
      </c>
      <c r="H396" s="213">
        <f t="shared" si="240"/>
        <v>1790</v>
      </c>
      <c r="I396" s="213">
        <f t="shared" si="240"/>
        <v>0</v>
      </c>
      <c r="J396" s="213">
        <f t="shared" si="240"/>
        <v>0</v>
      </c>
      <c r="K396" s="213">
        <f t="shared" si="240"/>
        <v>0</v>
      </c>
      <c r="L396" s="213"/>
      <c r="M396" s="213">
        <f t="shared" si="240"/>
        <v>1790</v>
      </c>
      <c r="N396" s="213">
        <f t="shared" si="240"/>
        <v>0</v>
      </c>
      <c r="O396" s="213">
        <f>SUM(O397:O399)</f>
        <v>1790</v>
      </c>
      <c r="P396" s="213">
        <f t="shared" si="240"/>
        <v>0</v>
      </c>
      <c r="Q396" s="213">
        <f t="shared" si="240"/>
        <v>0</v>
      </c>
      <c r="R396" s="213">
        <f t="shared" si="240"/>
        <v>0</v>
      </c>
      <c r="S396" s="406"/>
    </row>
    <row r="397" spans="1:19" s="183" customFormat="1" ht="51" customHeight="1">
      <c r="A397" s="214" t="s">
        <v>257</v>
      </c>
      <c r="B397" s="215" t="s">
        <v>746</v>
      </c>
      <c r="C397" s="406">
        <v>1240</v>
      </c>
      <c r="D397" s="211"/>
      <c r="E397" s="338">
        <f>G397+R397</f>
        <v>1240</v>
      </c>
      <c r="F397" s="212">
        <f t="shared" si="237"/>
        <v>0</v>
      </c>
      <c r="G397" s="213">
        <f>H397+P397+Q397</f>
        <v>1240</v>
      </c>
      <c r="H397" s="213">
        <f>J397+M397</f>
        <v>1240</v>
      </c>
      <c r="I397" s="213"/>
      <c r="J397" s="213">
        <f t="shared" si="224"/>
        <v>0</v>
      </c>
      <c r="K397" s="213"/>
      <c r="L397" s="213"/>
      <c r="M397" s="213">
        <f t="shared" si="208"/>
        <v>1240</v>
      </c>
      <c r="N397" s="213"/>
      <c r="O397" s="213">
        <v>1240</v>
      </c>
      <c r="P397" s="213"/>
      <c r="Q397" s="213"/>
      <c r="R397" s="213"/>
      <c r="S397" s="406" t="s">
        <v>513</v>
      </c>
    </row>
    <row r="398" spans="1:19" s="183" customFormat="1" ht="16.5" customHeight="1">
      <c r="A398" s="214" t="s">
        <v>257</v>
      </c>
      <c r="B398" s="215" t="s">
        <v>779</v>
      </c>
      <c r="C398" s="406">
        <v>250</v>
      </c>
      <c r="D398" s="211"/>
      <c r="E398" s="338">
        <f>G398+R398</f>
        <v>250</v>
      </c>
      <c r="F398" s="212">
        <f t="shared" si="237"/>
        <v>0</v>
      </c>
      <c r="G398" s="213">
        <f>H398+P398+Q398</f>
        <v>250</v>
      </c>
      <c r="H398" s="213">
        <f>J398+M398</f>
        <v>250</v>
      </c>
      <c r="I398" s="213"/>
      <c r="J398" s="213">
        <f t="shared" ref="J398" si="241">K398+L398</f>
        <v>0</v>
      </c>
      <c r="K398" s="213"/>
      <c r="L398" s="213"/>
      <c r="M398" s="213">
        <f t="shared" ref="M398" si="242">N398+O398</f>
        <v>250</v>
      </c>
      <c r="N398" s="213"/>
      <c r="O398" s="213">
        <v>250</v>
      </c>
      <c r="P398" s="213"/>
      <c r="Q398" s="213"/>
      <c r="R398" s="213"/>
      <c r="S398" s="406" t="s">
        <v>514</v>
      </c>
    </row>
    <row r="399" spans="1:19" s="183" customFormat="1" ht="44.25" customHeight="1">
      <c r="A399" s="214" t="s">
        <v>257</v>
      </c>
      <c r="B399" s="215" t="s">
        <v>783</v>
      </c>
      <c r="C399" s="406">
        <v>0</v>
      </c>
      <c r="D399" s="211"/>
      <c r="E399" s="338">
        <f>G399+R399</f>
        <v>300</v>
      </c>
      <c r="F399" s="212">
        <f t="shared" si="237"/>
        <v>300</v>
      </c>
      <c r="G399" s="213">
        <f>H399+P399+Q399</f>
        <v>300</v>
      </c>
      <c r="H399" s="213">
        <f>J399+M399</f>
        <v>300</v>
      </c>
      <c r="I399" s="213"/>
      <c r="J399" s="213">
        <f t="shared" si="224"/>
        <v>0</v>
      </c>
      <c r="K399" s="213"/>
      <c r="L399" s="213"/>
      <c r="M399" s="213">
        <f t="shared" si="208"/>
        <v>300</v>
      </c>
      <c r="N399" s="213"/>
      <c r="O399" s="213">
        <v>300</v>
      </c>
      <c r="P399" s="213"/>
      <c r="Q399" s="213"/>
      <c r="R399" s="213"/>
      <c r="S399" s="406" t="s">
        <v>514</v>
      </c>
    </row>
    <row r="400" spans="1:19" s="183" customFormat="1" ht="17.25" customHeight="1">
      <c r="A400" s="209" t="s">
        <v>515</v>
      </c>
      <c r="B400" s="210" t="s">
        <v>516</v>
      </c>
      <c r="C400" s="406">
        <f>SUM(C402:C414)</f>
        <v>2588</v>
      </c>
      <c r="D400" s="211">
        <v>428</v>
      </c>
      <c r="E400" s="338">
        <f>SUM(E402:E414)</f>
        <v>2716</v>
      </c>
      <c r="F400" s="212">
        <f t="shared" si="237"/>
        <v>128</v>
      </c>
      <c r="G400" s="213">
        <f t="shared" ref="G400:K400" si="243">SUM(G402:G414)</f>
        <v>2716</v>
      </c>
      <c r="H400" s="213">
        <f t="shared" si="243"/>
        <v>2716</v>
      </c>
      <c r="I400" s="213">
        <f t="shared" si="243"/>
        <v>0</v>
      </c>
      <c r="J400" s="213">
        <f t="shared" si="243"/>
        <v>0</v>
      </c>
      <c r="K400" s="213">
        <f t="shared" si="243"/>
        <v>0</v>
      </c>
      <c r="L400" s="213"/>
      <c r="M400" s="213">
        <f t="shared" ref="M400:R400" si="244">SUM(M402:M414)</f>
        <v>2716</v>
      </c>
      <c r="N400" s="213">
        <f t="shared" si="244"/>
        <v>0</v>
      </c>
      <c r="O400" s="213">
        <f t="shared" si="244"/>
        <v>2716</v>
      </c>
      <c r="P400" s="213">
        <f t="shared" si="244"/>
        <v>0</v>
      </c>
      <c r="Q400" s="213">
        <f t="shared" si="244"/>
        <v>0</v>
      </c>
      <c r="R400" s="213">
        <f t="shared" si="244"/>
        <v>0</v>
      </c>
      <c r="S400" s="406"/>
    </row>
    <row r="401" spans="1:19" s="183" customFormat="1" ht="16.5" customHeight="1">
      <c r="A401" s="214" t="s">
        <v>257</v>
      </c>
      <c r="B401" s="210" t="s">
        <v>517</v>
      </c>
      <c r="C401" s="406">
        <f>SUM(C402:C403)</f>
        <v>50</v>
      </c>
      <c r="D401" s="211"/>
      <c r="E401" s="338">
        <f>SUM(E402:E403)</f>
        <v>50</v>
      </c>
      <c r="F401" s="212">
        <f t="shared" si="237"/>
        <v>0</v>
      </c>
      <c r="G401" s="213">
        <f t="shared" ref="G401:R401" si="245">SUM(G402:G403)</f>
        <v>50</v>
      </c>
      <c r="H401" s="213">
        <f t="shared" si="245"/>
        <v>50</v>
      </c>
      <c r="I401" s="213">
        <f t="shared" si="245"/>
        <v>0</v>
      </c>
      <c r="J401" s="213">
        <f t="shared" si="224"/>
        <v>0</v>
      </c>
      <c r="K401" s="213">
        <f t="shared" si="245"/>
        <v>0</v>
      </c>
      <c r="L401" s="213"/>
      <c r="M401" s="213">
        <f t="shared" si="245"/>
        <v>50</v>
      </c>
      <c r="N401" s="213">
        <f t="shared" si="245"/>
        <v>0</v>
      </c>
      <c r="O401" s="213">
        <f t="shared" si="245"/>
        <v>50</v>
      </c>
      <c r="P401" s="213">
        <f t="shared" si="245"/>
        <v>0</v>
      </c>
      <c r="Q401" s="213">
        <f t="shared" si="245"/>
        <v>0</v>
      </c>
      <c r="R401" s="213">
        <f t="shared" si="245"/>
        <v>0</v>
      </c>
      <c r="S401" s="406" t="s">
        <v>518</v>
      </c>
    </row>
    <row r="402" spans="1:19" s="183" customFormat="1" ht="16.5" customHeight="1">
      <c r="A402" s="214" t="s">
        <v>111</v>
      </c>
      <c r="B402" s="210" t="s">
        <v>519</v>
      </c>
      <c r="C402" s="406">
        <v>30</v>
      </c>
      <c r="D402" s="211"/>
      <c r="E402" s="338">
        <f t="shared" ref="E402:E414" si="246">G402+R402</f>
        <v>30</v>
      </c>
      <c r="F402" s="212">
        <f t="shared" si="237"/>
        <v>0</v>
      </c>
      <c r="G402" s="213">
        <f t="shared" ref="G402:G418" si="247">H402+P402+Q402</f>
        <v>30</v>
      </c>
      <c r="H402" s="213">
        <f t="shared" ref="H402:H418" si="248">J402+M402</f>
        <v>30</v>
      </c>
      <c r="I402" s="213"/>
      <c r="J402" s="213">
        <f t="shared" si="224"/>
        <v>0</v>
      </c>
      <c r="K402" s="213"/>
      <c r="L402" s="213"/>
      <c r="M402" s="213">
        <f t="shared" si="208"/>
        <v>30</v>
      </c>
      <c r="N402" s="213"/>
      <c r="O402" s="213">
        <v>30</v>
      </c>
      <c r="P402" s="213"/>
      <c r="Q402" s="213"/>
      <c r="R402" s="213"/>
      <c r="S402" s="406"/>
    </row>
    <row r="403" spans="1:19" s="183" customFormat="1" ht="16.5" customHeight="1">
      <c r="A403" s="214" t="s">
        <v>111</v>
      </c>
      <c r="B403" s="210" t="s">
        <v>520</v>
      </c>
      <c r="C403" s="406">
        <v>20</v>
      </c>
      <c r="D403" s="211"/>
      <c r="E403" s="338">
        <f t="shared" si="246"/>
        <v>20</v>
      </c>
      <c r="F403" s="212">
        <f t="shared" si="237"/>
        <v>0</v>
      </c>
      <c r="G403" s="213">
        <f t="shared" si="247"/>
        <v>20</v>
      </c>
      <c r="H403" s="213">
        <f t="shared" si="248"/>
        <v>20</v>
      </c>
      <c r="I403" s="213"/>
      <c r="J403" s="213">
        <f t="shared" si="224"/>
        <v>0</v>
      </c>
      <c r="K403" s="213"/>
      <c r="L403" s="213"/>
      <c r="M403" s="213">
        <f t="shared" si="208"/>
        <v>20</v>
      </c>
      <c r="N403" s="213"/>
      <c r="O403" s="213">
        <v>20</v>
      </c>
      <c r="P403" s="213"/>
      <c r="Q403" s="213"/>
      <c r="R403" s="213"/>
      <c r="S403" s="406"/>
    </row>
    <row r="404" spans="1:19" s="183" customFormat="1" ht="30" customHeight="1">
      <c r="A404" s="214" t="s">
        <v>257</v>
      </c>
      <c r="B404" s="215" t="s">
        <v>575</v>
      </c>
      <c r="C404" s="406">
        <v>30</v>
      </c>
      <c r="D404" s="211"/>
      <c r="E404" s="338">
        <f t="shared" si="246"/>
        <v>30</v>
      </c>
      <c r="F404" s="212">
        <f t="shared" si="237"/>
        <v>0</v>
      </c>
      <c r="G404" s="213">
        <f t="shared" si="247"/>
        <v>30</v>
      </c>
      <c r="H404" s="213">
        <f t="shared" si="248"/>
        <v>30</v>
      </c>
      <c r="I404" s="213"/>
      <c r="J404" s="213">
        <f t="shared" si="224"/>
        <v>0</v>
      </c>
      <c r="K404" s="213"/>
      <c r="L404" s="213"/>
      <c r="M404" s="213">
        <f t="shared" si="208"/>
        <v>30</v>
      </c>
      <c r="N404" s="213"/>
      <c r="O404" s="213">
        <v>30</v>
      </c>
      <c r="P404" s="213"/>
      <c r="Q404" s="213"/>
      <c r="R404" s="213"/>
      <c r="S404" s="406" t="s">
        <v>521</v>
      </c>
    </row>
    <row r="405" spans="1:19" s="183" customFormat="1" ht="16.5" customHeight="1">
      <c r="A405" s="214" t="s">
        <v>257</v>
      </c>
      <c r="B405" s="210" t="s">
        <v>574</v>
      </c>
      <c r="C405" s="406">
        <v>300</v>
      </c>
      <c r="D405" s="211"/>
      <c r="E405" s="338">
        <f t="shared" si="246"/>
        <v>370</v>
      </c>
      <c r="F405" s="212">
        <f t="shared" si="237"/>
        <v>70</v>
      </c>
      <c r="G405" s="213">
        <f t="shared" si="247"/>
        <v>370</v>
      </c>
      <c r="H405" s="213">
        <f t="shared" si="248"/>
        <v>370</v>
      </c>
      <c r="I405" s="213"/>
      <c r="J405" s="213">
        <f t="shared" si="224"/>
        <v>0</v>
      </c>
      <c r="K405" s="213"/>
      <c r="L405" s="213"/>
      <c r="M405" s="213">
        <f t="shared" si="208"/>
        <v>370</v>
      </c>
      <c r="N405" s="213"/>
      <c r="O405" s="213">
        <v>370</v>
      </c>
      <c r="P405" s="213"/>
      <c r="Q405" s="213"/>
      <c r="R405" s="213"/>
      <c r="S405" s="406" t="s">
        <v>522</v>
      </c>
    </row>
    <row r="406" spans="1:19" s="183" customFormat="1" ht="28.5" customHeight="1">
      <c r="A406" s="214" t="s">
        <v>257</v>
      </c>
      <c r="B406" s="215" t="s">
        <v>523</v>
      </c>
      <c r="C406" s="406"/>
      <c r="D406" s="211"/>
      <c r="E406" s="338">
        <f t="shared" si="246"/>
        <v>0</v>
      </c>
      <c r="F406" s="212">
        <f t="shared" si="237"/>
        <v>0</v>
      </c>
      <c r="G406" s="213">
        <f t="shared" si="247"/>
        <v>0</v>
      </c>
      <c r="H406" s="213">
        <f t="shared" si="248"/>
        <v>0</v>
      </c>
      <c r="I406" s="213"/>
      <c r="J406" s="213">
        <f t="shared" si="224"/>
        <v>0</v>
      </c>
      <c r="K406" s="213"/>
      <c r="L406" s="213"/>
      <c r="M406" s="213">
        <f t="shared" si="208"/>
        <v>0</v>
      </c>
      <c r="N406" s="213"/>
      <c r="O406" s="213"/>
      <c r="P406" s="213"/>
      <c r="Q406" s="213"/>
      <c r="R406" s="213"/>
      <c r="S406" s="406" t="s">
        <v>524</v>
      </c>
    </row>
    <row r="407" spans="1:19" s="183" customFormat="1" ht="16.5" customHeight="1">
      <c r="A407" s="214" t="s">
        <v>257</v>
      </c>
      <c r="B407" s="210" t="s">
        <v>573</v>
      </c>
      <c r="C407" s="406">
        <v>50</v>
      </c>
      <c r="D407" s="211"/>
      <c r="E407" s="338">
        <f t="shared" si="246"/>
        <v>50</v>
      </c>
      <c r="F407" s="212">
        <f t="shared" si="237"/>
        <v>0</v>
      </c>
      <c r="G407" s="213">
        <f t="shared" si="247"/>
        <v>50</v>
      </c>
      <c r="H407" s="213">
        <f t="shared" si="248"/>
        <v>50</v>
      </c>
      <c r="I407" s="213"/>
      <c r="J407" s="213">
        <f t="shared" si="224"/>
        <v>0</v>
      </c>
      <c r="K407" s="213"/>
      <c r="L407" s="213"/>
      <c r="M407" s="213">
        <f t="shared" si="208"/>
        <v>50</v>
      </c>
      <c r="N407" s="213"/>
      <c r="O407" s="213">
        <v>50</v>
      </c>
      <c r="P407" s="213"/>
      <c r="Q407" s="213"/>
      <c r="R407" s="213"/>
      <c r="S407" s="406" t="s">
        <v>525</v>
      </c>
    </row>
    <row r="408" spans="1:19" s="183" customFormat="1" ht="16.5" customHeight="1">
      <c r="A408" s="214" t="s">
        <v>257</v>
      </c>
      <c r="B408" s="210" t="s">
        <v>572</v>
      </c>
      <c r="C408" s="406">
        <v>500</v>
      </c>
      <c r="D408" s="211"/>
      <c r="E408" s="338">
        <f t="shared" si="246"/>
        <v>550</v>
      </c>
      <c r="F408" s="212">
        <f t="shared" si="237"/>
        <v>50</v>
      </c>
      <c r="G408" s="213">
        <f t="shared" si="247"/>
        <v>550</v>
      </c>
      <c r="H408" s="213">
        <f t="shared" si="248"/>
        <v>550</v>
      </c>
      <c r="I408" s="213"/>
      <c r="J408" s="213">
        <f t="shared" si="224"/>
        <v>0</v>
      </c>
      <c r="K408" s="213"/>
      <c r="L408" s="213"/>
      <c r="M408" s="213">
        <f t="shared" si="208"/>
        <v>550</v>
      </c>
      <c r="N408" s="213"/>
      <c r="O408" s="213">
        <v>550</v>
      </c>
      <c r="P408" s="213"/>
      <c r="Q408" s="213"/>
      <c r="R408" s="213"/>
      <c r="S408" s="406" t="s">
        <v>382</v>
      </c>
    </row>
    <row r="409" spans="1:19" s="183" customFormat="1" ht="17.25" customHeight="1">
      <c r="A409" s="214" t="s">
        <v>257</v>
      </c>
      <c r="B409" s="241" t="s">
        <v>526</v>
      </c>
      <c r="C409" s="406"/>
      <c r="D409" s="211"/>
      <c r="E409" s="338">
        <f t="shared" si="246"/>
        <v>0</v>
      </c>
      <c r="F409" s="212">
        <f t="shared" si="237"/>
        <v>0</v>
      </c>
      <c r="G409" s="213">
        <f t="shared" si="247"/>
        <v>0</v>
      </c>
      <c r="H409" s="213">
        <f t="shared" si="248"/>
        <v>0</v>
      </c>
      <c r="I409" s="213"/>
      <c r="J409" s="213">
        <f t="shared" si="224"/>
        <v>0</v>
      </c>
      <c r="K409" s="213"/>
      <c r="L409" s="213"/>
      <c r="M409" s="213">
        <f t="shared" ref="M409:M414" si="249">N409+O409</f>
        <v>0</v>
      </c>
      <c r="N409" s="213"/>
      <c r="O409" s="213"/>
      <c r="P409" s="213"/>
      <c r="Q409" s="213"/>
      <c r="R409" s="213"/>
      <c r="S409" s="406" t="s">
        <v>514</v>
      </c>
    </row>
    <row r="410" spans="1:19" s="183" customFormat="1" ht="30.75" customHeight="1">
      <c r="A410" s="214" t="s">
        <v>257</v>
      </c>
      <c r="B410" s="215" t="s">
        <v>571</v>
      </c>
      <c r="C410" s="406">
        <v>1500</v>
      </c>
      <c r="D410" s="211"/>
      <c r="E410" s="338">
        <f>G410+R410</f>
        <v>1500</v>
      </c>
      <c r="F410" s="212">
        <f t="shared" si="237"/>
        <v>0</v>
      </c>
      <c r="G410" s="213">
        <f>H410+P410+Q410</f>
        <v>1500</v>
      </c>
      <c r="H410" s="213">
        <f>J410+M410</f>
        <v>1500</v>
      </c>
      <c r="I410" s="213"/>
      <c r="J410" s="213">
        <f>K410+L410</f>
        <v>0</v>
      </c>
      <c r="K410" s="213"/>
      <c r="L410" s="213"/>
      <c r="M410" s="213">
        <f t="shared" si="249"/>
        <v>1500</v>
      </c>
      <c r="N410" s="213"/>
      <c r="O410" s="213">
        <v>1500</v>
      </c>
      <c r="P410" s="213"/>
      <c r="Q410" s="213"/>
      <c r="R410" s="213"/>
      <c r="S410" s="406" t="s">
        <v>527</v>
      </c>
    </row>
    <row r="411" spans="1:19" s="183" customFormat="1" ht="30.75" customHeight="1">
      <c r="A411" s="214" t="s">
        <v>257</v>
      </c>
      <c r="B411" s="215" t="s">
        <v>528</v>
      </c>
      <c r="C411" s="406">
        <v>100</v>
      </c>
      <c r="D411" s="211"/>
      <c r="E411" s="338">
        <f t="shared" si="246"/>
        <v>100</v>
      </c>
      <c r="F411" s="212">
        <f t="shared" si="237"/>
        <v>0</v>
      </c>
      <c r="G411" s="213">
        <f t="shared" si="247"/>
        <v>100</v>
      </c>
      <c r="H411" s="213">
        <f t="shared" si="248"/>
        <v>100</v>
      </c>
      <c r="I411" s="213"/>
      <c r="J411" s="213">
        <f t="shared" si="224"/>
        <v>0</v>
      </c>
      <c r="K411" s="213"/>
      <c r="L411" s="213"/>
      <c r="M411" s="213">
        <f t="shared" si="249"/>
        <v>100</v>
      </c>
      <c r="N411" s="213"/>
      <c r="O411" s="213">
        <v>100</v>
      </c>
      <c r="P411" s="213"/>
      <c r="Q411" s="213"/>
      <c r="R411" s="213"/>
      <c r="S411" s="406" t="s">
        <v>529</v>
      </c>
    </row>
    <row r="412" spans="1:19" s="183" customFormat="1" ht="30" customHeight="1">
      <c r="A412" s="214" t="s">
        <v>257</v>
      </c>
      <c r="B412" s="215" t="s">
        <v>570</v>
      </c>
      <c r="C412" s="406">
        <v>16</v>
      </c>
      <c r="D412" s="211"/>
      <c r="E412" s="338">
        <f t="shared" si="246"/>
        <v>16</v>
      </c>
      <c r="F412" s="212">
        <f t="shared" si="237"/>
        <v>0</v>
      </c>
      <c r="G412" s="213">
        <f t="shared" si="247"/>
        <v>16</v>
      </c>
      <c r="H412" s="213">
        <f t="shared" si="248"/>
        <v>16</v>
      </c>
      <c r="I412" s="213"/>
      <c r="J412" s="213">
        <f t="shared" si="224"/>
        <v>0</v>
      </c>
      <c r="K412" s="213"/>
      <c r="L412" s="213"/>
      <c r="M412" s="213">
        <f t="shared" si="249"/>
        <v>16</v>
      </c>
      <c r="N412" s="213"/>
      <c r="O412" s="213">
        <v>16</v>
      </c>
      <c r="P412" s="213"/>
      <c r="Q412" s="213"/>
      <c r="R412" s="213"/>
      <c r="S412" s="406" t="s">
        <v>530</v>
      </c>
    </row>
    <row r="413" spans="1:19" s="183" customFormat="1" ht="46.5" customHeight="1">
      <c r="A413" s="214" t="s">
        <v>257</v>
      </c>
      <c r="B413" s="215" t="s">
        <v>679</v>
      </c>
      <c r="C413" s="406">
        <v>22</v>
      </c>
      <c r="D413" s="211"/>
      <c r="E413" s="338">
        <f>G413+R413</f>
        <v>30</v>
      </c>
      <c r="F413" s="212">
        <f t="shared" si="237"/>
        <v>8</v>
      </c>
      <c r="G413" s="213">
        <f>H413+P413+Q413</f>
        <v>30</v>
      </c>
      <c r="H413" s="213">
        <f>J413+M413</f>
        <v>30</v>
      </c>
      <c r="I413" s="213"/>
      <c r="J413" s="213">
        <f>K413+L413</f>
        <v>0</v>
      </c>
      <c r="K413" s="213"/>
      <c r="L413" s="213"/>
      <c r="M413" s="213">
        <f>N413+O413</f>
        <v>30</v>
      </c>
      <c r="N413" s="213"/>
      <c r="O413" s="213">
        <v>30</v>
      </c>
      <c r="P413" s="213"/>
      <c r="Q413" s="213"/>
      <c r="R413" s="213"/>
      <c r="S413" s="216" t="s">
        <v>576</v>
      </c>
    </row>
    <row r="414" spans="1:19" s="183" customFormat="1" ht="17.25" customHeight="1">
      <c r="A414" s="214" t="s">
        <v>257</v>
      </c>
      <c r="B414" s="215" t="s">
        <v>531</v>
      </c>
      <c r="C414" s="406">
        <v>20</v>
      </c>
      <c r="D414" s="211"/>
      <c r="E414" s="338">
        <f t="shared" si="246"/>
        <v>20</v>
      </c>
      <c r="F414" s="212">
        <f t="shared" si="237"/>
        <v>0</v>
      </c>
      <c r="G414" s="213">
        <f t="shared" si="247"/>
        <v>20</v>
      </c>
      <c r="H414" s="213">
        <f t="shared" si="248"/>
        <v>20</v>
      </c>
      <c r="I414" s="213"/>
      <c r="J414" s="213">
        <f t="shared" si="224"/>
        <v>0</v>
      </c>
      <c r="K414" s="213"/>
      <c r="L414" s="213"/>
      <c r="M414" s="213">
        <f t="shared" si="249"/>
        <v>20</v>
      </c>
      <c r="N414" s="213"/>
      <c r="O414" s="213">
        <v>20</v>
      </c>
      <c r="P414" s="213"/>
      <c r="Q414" s="213"/>
      <c r="R414" s="213"/>
      <c r="S414" s="216" t="s">
        <v>451</v>
      </c>
    </row>
    <row r="415" spans="1:19" s="183" customFormat="1" ht="26.25" customHeight="1">
      <c r="A415" s="214" t="s">
        <v>532</v>
      </c>
      <c r="B415" s="255" t="s">
        <v>137</v>
      </c>
      <c r="C415" s="406">
        <f>SUM(C416:C417)</f>
        <v>6774.3099999999995</v>
      </c>
      <c r="D415" s="406">
        <f t="shared" ref="D415:R415" si="250">SUM(D416:D417)</f>
        <v>0</v>
      </c>
      <c r="E415" s="338">
        <f t="shared" si="250"/>
        <v>5355</v>
      </c>
      <c r="F415" s="212">
        <f t="shared" si="237"/>
        <v>-1419.3099999999995</v>
      </c>
      <c r="G415" s="406">
        <f t="shared" si="250"/>
        <v>5355</v>
      </c>
      <c r="H415" s="406">
        <f>SUM(H416:H417)</f>
        <v>5355</v>
      </c>
      <c r="I415" s="406">
        <f t="shared" ref="I415:K415" si="251">SUM(I416:I417)</f>
        <v>0</v>
      </c>
      <c r="J415" s="406">
        <f t="shared" si="251"/>
        <v>5355</v>
      </c>
      <c r="K415" s="406">
        <f t="shared" si="251"/>
        <v>0</v>
      </c>
      <c r="L415" s="406">
        <f t="shared" si="250"/>
        <v>0</v>
      </c>
      <c r="M415" s="406">
        <f t="shared" si="250"/>
        <v>0</v>
      </c>
      <c r="N415" s="406">
        <f t="shared" si="250"/>
        <v>0</v>
      </c>
      <c r="O415" s="406">
        <f t="shared" si="250"/>
        <v>0</v>
      </c>
      <c r="P415" s="406">
        <f t="shared" si="250"/>
        <v>0</v>
      </c>
      <c r="Q415" s="406">
        <f t="shared" si="250"/>
        <v>0</v>
      </c>
      <c r="R415" s="406">
        <f t="shared" si="250"/>
        <v>0</v>
      </c>
      <c r="S415" s="216"/>
    </row>
    <row r="416" spans="1:19" s="183" customFormat="1" ht="21" customHeight="1">
      <c r="A416" s="214" t="s">
        <v>257</v>
      </c>
      <c r="B416" s="255" t="s">
        <v>533</v>
      </c>
      <c r="C416" s="406">
        <v>3815</v>
      </c>
      <c r="D416" s="211"/>
      <c r="E416" s="338">
        <f>G416+R416</f>
        <v>5355</v>
      </c>
      <c r="F416" s="212">
        <f t="shared" si="237"/>
        <v>1540</v>
      </c>
      <c r="G416" s="213">
        <f>H416+P416+Q416</f>
        <v>5355</v>
      </c>
      <c r="H416" s="213">
        <f>J416+M416</f>
        <v>5355</v>
      </c>
      <c r="I416" s="213"/>
      <c r="J416" s="213">
        <f>1190+4165</f>
        <v>5355</v>
      </c>
      <c r="K416" s="213"/>
      <c r="L416" s="213"/>
      <c r="M416" s="213">
        <f>N416+O416</f>
        <v>0</v>
      </c>
      <c r="N416" s="253"/>
      <c r="O416" s="213"/>
      <c r="P416" s="213"/>
      <c r="Q416" s="213"/>
      <c r="R416" s="213"/>
      <c r="S416" s="216"/>
    </row>
    <row r="417" spans="1:19" s="183" customFormat="1" ht="27.75" customHeight="1">
      <c r="A417" s="214" t="s">
        <v>257</v>
      </c>
      <c r="B417" s="215" t="s">
        <v>534</v>
      </c>
      <c r="C417" s="406">
        <v>2959.31</v>
      </c>
      <c r="D417" s="211"/>
      <c r="E417" s="338">
        <f>G417</f>
        <v>0</v>
      </c>
      <c r="F417" s="212">
        <f t="shared" si="237"/>
        <v>-2959.31</v>
      </c>
      <c r="G417" s="213">
        <f>H417+P417+Q417</f>
        <v>0</v>
      </c>
      <c r="H417" s="213">
        <f>J417+M417</f>
        <v>0</v>
      </c>
      <c r="I417" s="213"/>
      <c r="J417" s="213">
        <f>K417+L417</f>
        <v>0</v>
      </c>
      <c r="K417" s="213"/>
      <c r="L417" s="213"/>
      <c r="M417" s="213">
        <f>N417+O417</f>
        <v>0</v>
      </c>
      <c r="N417" s="253"/>
      <c r="O417" s="213"/>
      <c r="P417" s="213"/>
      <c r="Q417" s="213"/>
      <c r="R417" s="213"/>
      <c r="S417" s="216"/>
    </row>
    <row r="418" spans="1:19" s="183" customFormat="1" ht="17.25" customHeight="1">
      <c r="A418" s="209" t="s">
        <v>94</v>
      </c>
      <c r="B418" s="210" t="s">
        <v>535</v>
      </c>
      <c r="C418" s="406">
        <v>4624</v>
      </c>
      <c r="D418" s="211"/>
      <c r="E418" s="338">
        <f>G418+R418</f>
        <v>5849</v>
      </c>
      <c r="F418" s="212">
        <f t="shared" si="237"/>
        <v>1225</v>
      </c>
      <c r="G418" s="213">
        <f t="shared" si="247"/>
        <v>5849</v>
      </c>
      <c r="H418" s="213">
        <f t="shared" si="248"/>
        <v>5849</v>
      </c>
      <c r="I418" s="213"/>
      <c r="J418" s="213">
        <f>K418+L418</f>
        <v>0</v>
      </c>
      <c r="K418" s="213"/>
      <c r="L418" s="213"/>
      <c r="M418" s="213">
        <f>N418+O418</f>
        <v>5849</v>
      </c>
      <c r="N418" s="213"/>
      <c r="O418" s="213">
        <f>7063-'08 XA'!C75</f>
        <v>5849</v>
      </c>
      <c r="P418" s="213"/>
      <c r="Q418" s="213"/>
      <c r="R418" s="213"/>
      <c r="S418" s="406"/>
    </row>
    <row r="419" spans="1:19" s="183" customFormat="1" ht="17.25" hidden="1" customHeight="1">
      <c r="A419" s="209" t="s">
        <v>12</v>
      </c>
      <c r="B419" s="210" t="s">
        <v>536</v>
      </c>
      <c r="C419" s="406">
        <f>C420+C423+C427+C428</f>
        <v>0</v>
      </c>
      <c r="D419" s="211"/>
      <c r="E419" s="338">
        <f>E420+E423+E427+E428</f>
        <v>0</v>
      </c>
      <c r="F419" s="212">
        <f t="shared" si="237"/>
        <v>0</v>
      </c>
      <c r="G419" s="213">
        <f t="shared" ref="G419:R419" si="252">G420+G423+G427+G428</f>
        <v>0</v>
      </c>
      <c r="H419" s="213">
        <f t="shared" si="252"/>
        <v>0</v>
      </c>
      <c r="I419" s="213">
        <f t="shared" si="252"/>
        <v>0</v>
      </c>
      <c r="J419" s="213">
        <f t="shared" si="252"/>
        <v>0</v>
      </c>
      <c r="K419" s="213">
        <f t="shared" si="252"/>
        <v>0</v>
      </c>
      <c r="L419" s="213"/>
      <c r="M419" s="213">
        <f t="shared" si="252"/>
        <v>0</v>
      </c>
      <c r="N419" s="213">
        <f t="shared" si="252"/>
        <v>0</v>
      </c>
      <c r="O419" s="213">
        <f t="shared" si="252"/>
        <v>0</v>
      </c>
      <c r="P419" s="213">
        <f t="shared" si="252"/>
        <v>0</v>
      </c>
      <c r="Q419" s="213">
        <f t="shared" si="252"/>
        <v>0</v>
      </c>
      <c r="R419" s="213">
        <f t="shared" si="252"/>
        <v>0</v>
      </c>
      <c r="S419" s="406" t="s">
        <v>537</v>
      </c>
    </row>
    <row r="420" spans="1:19" s="183" customFormat="1" ht="16.5" hidden="1" customHeight="1">
      <c r="A420" s="209">
        <v>1</v>
      </c>
      <c r="B420" s="210" t="s">
        <v>538</v>
      </c>
      <c r="C420" s="406">
        <f>SUM(C421:C422)</f>
        <v>0</v>
      </c>
      <c r="D420" s="252" t="s">
        <v>539</v>
      </c>
      <c r="E420" s="338">
        <f t="shared" ref="E420:R420" si="253">SUM(E421:E422)</f>
        <v>0</v>
      </c>
      <c r="F420" s="212">
        <f t="shared" si="237"/>
        <v>0</v>
      </c>
      <c r="G420" s="213">
        <f t="shared" si="253"/>
        <v>0</v>
      </c>
      <c r="H420" s="213">
        <f t="shared" si="253"/>
        <v>0</v>
      </c>
      <c r="I420" s="213">
        <f t="shared" si="253"/>
        <v>0</v>
      </c>
      <c r="J420" s="213">
        <f t="shared" si="253"/>
        <v>0</v>
      </c>
      <c r="K420" s="213">
        <f t="shared" si="253"/>
        <v>0</v>
      </c>
      <c r="L420" s="213"/>
      <c r="M420" s="213">
        <f>SUM(M421:M422)</f>
        <v>0</v>
      </c>
      <c r="N420" s="213">
        <f t="shared" si="253"/>
        <v>0</v>
      </c>
      <c r="O420" s="213">
        <f t="shared" si="253"/>
        <v>0</v>
      </c>
      <c r="P420" s="213">
        <f t="shared" si="253"/>
        <v>0</v>
      </c>
      <c r="Q420" s="213">
        <f t="shared" si="253"/>
        <v>0</v>
      </c>
      <c r="R420" s="213">
        <f t="shared" si="253"/>
        <v>0</v>
      </c>
      <c r="S420" s="406"/>
    </row>
    <row r="421" spans="1:19" s="183" customFormat="1" ht="16.5" hidden="1" customHeight="1">
      <c r="A421" s="209" t="s">
        <v>257</v>
      </c>
      <c r="B421" s="210" t="s">
        <v>540</v>
      </c>
      <c r="C421" s="406"/>
      <c r="D421" s="209"/>
      <c r="E421" s="338">
        <f>G421+R421</f>
        <v>0</v>
      </c>
      <c r="F421" s="212">
        <f t="shared" si="237"/>
        <v>0</v>
      </c>
      <c r="G421" s="213">
        <f>H421+P421+Q421</f>
        <v>0</v>
      </c>
      <c r="H421" s="213">
        <f>J421+M421</f>
        <v>0</v>
      </c>
      <c r="I421" s="213"/>
      <c r="J421" s="213">
        <f t="shared" si="224"/>
        <v>0</v>
      </c>
      <c r="K421" s="213"/>
      <c r="L421" s="213"/>
      <c r="M421" s="213">
        <f>N421+O421</f>
        <v>0</v>
      </c>
      <c r="N421" s="213"/>
      <c r="O421" s="213"/>
      <c r="P421" s="213"/>
      <c r="Q421" s="213"/>
      <c r="R421" s="231"/>
      <c r="S421" s="406"/>
    </row>
    <row r="422" spans="1:19" s="183" customFormat="1" ht="16.5" hidden="1" customHeight="1">
      <c r="A422" s="209" t="s">
        <v>257</v>
      </c>
      <c r="B422" s="210" t="s">
        <v>541</v>
      </c>
      <c r="C422" s="406"/>
      <c r="D422" s="209"/>
      <c r="E422" s="338">
        <f>G422+R422</f>
        <v>0</v>
      </c>
      <c r="F422" s="212">
        <f t="shared" si="237"/>
        <v>0</v>
      </c>
      <c r="G422" s="213">
        <f>H422+P422+Q422</f>
        <v>0</v>
      </c>
      <c r="H422" s="213">
        <f>J422+M422</f>
        <v>0</v>
      </c>
      <c r="I422" s="213"/>
      <c r="J422" s="213">
        <f t="shared" si="224"/>
        <v>0</v>
      </c>
      <c r="K422" s="213"/>
      <c r="L422" s="213"/>
      <c r="M422" s="213">
        <f>N422+O422</f>
        <v>0</v>
      </c>
      <c r="N422" s="213"/>
      <c r="O422" s="213"/>
      <c r="P422" s="213"/>
      <c r="Q422" s="213"/>
      <c r="R422" s="231"/>
      <c r="S422" s="406"/>
    </row>
    <row r="423" spans="1:19" s="183" customFormat="1" ht="16.5" hidden="1" customHeight="1">
      <c r="A423" s="209">
        <v>2</v>
      </c>
      <c r="B423" s="210" t="s">
        <v>542</v>
      </c>
      <c r="C423" s="406">
        <f>C424</f>
        <v>0</v>
      </c>
      <c r="D423" s="252" t="s">
        <v>543</v>
      </c>
      <c r="E423" s="338">
        <f>E424</f>
        <v>0</v>
      </c>
      <c r="F423" s="212">
        <f t="shared" si="237"/>
        <v>0</v>
      </c>
      <c r="G423" s="213">
        <f t="shared" ref="G423:R423" si="254">G424</f>
        <v>0</v>
      </c>
      <c r="H423" s="213">
        <f t="shared" si="254"/>
        <v>0</v>
      </c>
      <c r="I423" s="213">
        <f t="shared" si="254"/>
        <v>0</v>
      </c>
      <c r="J423" s="213">
        <f t="shared" si="254"/>
        <v>0</v>
      </c>
      <c r="K423" s="213">
        <f t="shared" si="254"/>
        <v>0</v>
      </c>
      <c r="L423" s="213"/>
      <c r="M423" s="213">
        <f t="shared" si="254"/>
        <v>0</v>
      </c>
      <c r="N423" s="213">
        <f t="shared" si="254"/>
        <v>0</v>
      </c>
      <c r="O423" s="213">
        <f t="shared" si="254"/>
        <v>0</v>
      </c>
      <c r="P423" s="213">
        <f t="shared" si="254"/>
        <v>0</v>
      </c>
      <c r="Q423" s="213">
        <f t="shared" si="254"/>
        <v>0</v>
      </c>
      <c r="R423" s="213">
        <f t="shared" si="254"/>
        <v>0</v>
      </c>
      <c r="S423" s="406"/>
    </row>
    <row r="424" spans="1:19" s="183" customFormat="1" ht="16.5" hidden="1" customHeight="1">
      <c r="A424" s="214" t="s">
        <v>257</v>
      </c>
      <c r="B424" s="210" t="s">
        <v>544</v>
      </c>
      <c r="C424" s="406">
        <f t="shared" ref="C424:R424" si="255">SUM(C425:C426)</f>
        <v>0</v>
      </c>
      <c r="D424" s="211"/>
      <c r="E424" s="338">
        <f t="shared" si="255"/>
        <v>0</v>
      </c>
      <c r="F424" s="212">
        <f t="shared" si="237"/>
        <v>0</v>
      </c>
      <c r="G424" s="213">
        <f t="shared" si="255"/>
        <v>0</v>
      </c>
      <c r="H424" s="213">
        <f t="shared" si="255"/>
        <v>0</v>
      </c>
      <c r="I424" s="213">
        <f t="shared" si="255"/>
        <v>0</v>
      </c>
      <c r="J424" s="213">
        <f t="shared" si="255"/>
        <v>0</v>
      </c>
      <c r="K424" s="213">
        <f t="shared" si="255"/>
        <v>0</v>
      </c>
      <c r="L424" s="213"/>
      <c r="M424" s="213">
        <f t="shared" si="255"/>
        <v>0</v>
      </c>
      <c r="N424" s="213">
        <f t="shared" si="255"/>
        <v>0</v>
      </c>
      <c r="O424" s="213">
        <f t="shared" si="255"/>
        <v>0</v>
      </c>
      <c r="P424" s="213">
        <f t="shared" si="255"/>
        <v>0</v>
      </c>
      <c r="Q424" s="213">
        <f t="shared" si="255"/>
        <v>0</v>
      </c>
      <c r="R424" s="213">
        <f t="shared" si="255"/>
        <v>0</v>
      </c>
      <c r="S424" s="406"/>
    </row>
    <row r="425" spans="1:19" s="183" customFormat="1" ht="16.5" hidden="1" customHeight="1">
      <c r="A425" s="209" t="s">
        <v>111</v>
      </c>
      <c r="B425" s="210" t="s">
        <v>540</v>
      </c>
      <c r="C425" s="406"/>
      <c r="D425" s="209"/>
      <c r="E425" s="338">
        <f>G425+R425</f>
        <v>0</v>
      </c>
      <c r="F425" s="212">
        <f t="shared" si="237"/>
        <v>0</v>
      </c>
      <c r="G425" s="213">
        <f>H425+P425+Q425</f>
        <v>0</v>
      </c>
      <c r="H425" s="213">
        <f>J425+M425</f>
        <v>0</v>
      </c>
      <c r="I425" s="213"/>
      <c r="J425" s="213">
        <f>K425+L425</f>
        <v>0</v>
      </c>
      <c r="K425" s="213"/>
      <c r="L425" s="213"/>
      <c r="M425" s="213">
        <f>N425+O425</f>
        <v>0</v>
      </c>
      <c r="N425" s="213"/>
      <c r="O425" s="213"/>
      <c r="P425" s="213"/>
      <c r="Q425" s="213"/>
      <c r="R425" s="231"/>
      <c r="S425" s="406"/>
    </row>
    <row r="426" spans="1:19" s="183" customFormat="1" ht="16.5" hidden="1" customHeight="1">
      <c r="A426" s="209" t="s">
        <v>111</v>
      </c>
      <c r="B426" s="210" t="s">
        <v>541</v>
      </c>
      <c r="C426" s="406"/>
      <c r="D426" s="209"/>
      <c r="E426" s="338">
        <f>G426+R426</f>
        <v>0</v>
      </c>
      <c r="F426" s="212">
        <f t="shared" si="237"/>
        <v>0</v>
      </c>
      <c r="G426" s="213">
        <f>H426+P426+Q426</f>
        <v>0</v>
      </c>
      <c r="H426" s="213">
        <f>J426+M426</f>
        <v>0</v>
      </c>
      <c r="I426" s="213"/>
      <c r="J426" s="213">
        <f>K426+L426</f>
        <v>0</v>
      </c>
      <c r="K426" s="213"/>
      <c r="L426" s="213"/>
      <c r="M426" s="213">
        <f>N426+O426</f>
        <v>0</v>
      </c>
      <c r="N426" s="213"/>
      <c r="O426" s="213"/>
      <c r="P426" s="213"/>
      <c r="Q426" s="213"/>
      <c r="R426" s="231"/>
      <c r="S426" s="406"/>
    </row>
    <row r="427" spans="1:19" s="183" customFormat="1" ht="16.5" hidden="1" customHeight="1">
      <c r="A427" s="209">
        <v>4</v>
      </c>
      <c r="B427" s="227" t="s">
        <v>545</v>
      </c>
      <c r="C427" s="406"/>
      <c r="D427" s="209"/>
      <c r="E427" s="338">
        <f>G427+R427</f>
        <v>0</v>
      </c>
      <c r="F427" s="212">
        <f t="shared" si="237"/>
        <v>0</v>
      </c>
      <c r="G427" s="213"/>
      <c r="H427" s="213"/>
      <c r="I427" s="213"/>
      <c r="J427" s="213">
        <f>K427+L427</f>
        <v>0</v>
      </c>
      <c r="K427" s="213"/>
      <c r="L427" s="213"/>
      <c r="M427" s="213"/>
      <c r="N427" s="213"/>
      <c r="O427" s="213"/>
      <c r="P427" s="213"/>
      <c r="Q427" s="213"/>
      <c r="R427" s="406"/>
      <c r="S427" s="406"/>
    </row>
    <row r="428" spans="1:19" s="183" customFormat="1" ht="26.25" hidden="1" customHeight="1">
      <c r="A428" s="209">
        <v>5</v>
      </c>
      <c r="B428" s="256" t="s">
        <v>546</v>
      </c>
      <c r="C428" s="406"/>
      <c r="D428" s="209"/>
      <c r="E428" s="338">
        <f>G428+R428</f>
        <v>0</v>
      </c>
      <c r="F428" s="212">
        <f t="shared" si="237"/>
        <v>0</v>
      </c>
      <c r="G428" s="213"/>
      <c r="H428" s="213"/>
      <c r="I428" s="213"/>
      <c r="J428" s="213">
        <f>K428+L428</f>
        <v>0</v>
      </c>
      <c r="K428" s="213"/>
      <c r="L428" s="213"/>
      <c r="M428" s="213"/>
      <c r="N428" s="213"/>
      <c r="O428" s="213"/>
      <c r="P428" s="213"/>
      <c r="Q428" s="213"/>
      <c r="R428" s="406"/>
      <c r="S428" s="406"/>
    </row>
    <row r="429" spans="1:19" s="183" customFormat="1" ht="17.25" customHeight="1">
      <c r="A429" s="257"/>
      <c r="B429" s="258" t="s">
        <v>547</v>
      </c>
      <c r="C429" s="258">
        <f>C419+C10</f>
        <v>304741.15899999999</v>
      </c>
      <c r="D429" s="259"/>
      <c r="E429" s="339">
        <f t="shared" ref="E429:R429" si="256">E419+E10</f>
        <v>378521.97002000001</v>
      </c>
      <c r="F429" s="258">
        <f t="shared" si="256"/>
        <v>73780.811020000023</v>
      </c>
      <c r="G429" s="260">
        <f t="shared" si="256"/>
        <v>370474.97002000001</v>
      </c>
      <c r="H429" s="260">
        <f t="shared" si="256"/>
        <v>222591.80002</v>
      </c>
      <c r="I429" s="260">
        <f t="shared" si="256"/>
        <v>1177</v>
      </c>
      <c r="J429" s="260">
        <f t="shared" si="256"/>
        <v>173881.67702</v>
      </c>
      <c r="K429" s="260">
        <f t="shared" si="256"/>
        <v>0</v>
      </c>
      <c r="L429" s="260">
        <f t="shared" si="256"/>
        <v>0</v>
      </c>
      <c r="M429" s="260">
        <f t="shared" si="256"/>
        <v>48710.123</v>
      </c>
      <c r="N429" s="260">
        <f t="shared" si="256"/>
        <v>28908.73</v>
      </c>
      <c r="O429" s="260">
        <f t="shared" si="256"/>
        <v>19801.393</v>
      </c>
      <c r="P429" s="260">
        <f t="shared" si="256"/>
        <v>59459.17</v>
      </c>
      <c r="Q429" s="260">
        <f t="shared" si="256"/>
        <v>88424</v>
      </c>
      <c r="R429" s="260">
        <f t="shared" si="256"/>
        <v>8047</v>
      </c>
      <c r="S429" s="258"/>
    </row>
    <row r="432" spans="1:19">
      <c r="E432" s="182">
        <f>E429+'08 XA'!C7</f>
        <v>447546.75002000004</v>
      </c>
    </row>
    <row r="437" spans="1:19">
      <c r="I437" s="180">
        <f>5730/280442</f>
        <v>2.0432032291882101E-2</v>
      </c>
    </row>
    <row r="439" spans="1:19">
      <c r="G439" s="261"/>
    </row>
    <row r="440" spans="1:19" s="183" customFormat="1">
      <c r="A440" s="208"/>
      <c r="C440" s="407"/>
      <c r="D440" s="180"/>
      <c r="E440" s="182"/>
      <c r="F440" s="182"/>
      <c r="H440" s="181"/>
      <c r="I440" s="180"/>
      <c r="J440" s="181"/>
      <c r="K440" s="181"/>
      <c r="L440" s="181"/>
      <c r="M440" s="181"/>
      <c r="N440" s="181"/>
      <c r="O440" s="181"/>
      <c r="P440" s="181"/>
      <c r="Q440" s="181"/>
      <c r="R440" s="181"/>
      <c r="S440" s="407"/>
    </row>
    <row r="441" spans="1:19" s="183" customFormat="1">
      <c r="A441" s="208"/>
      <c r="C441" s="407"/>
      <c r="D441" s="180"/>
      <c r="E441" s="182"/>
      <c r="F441" s="182"/>
      <c r="H441" s="181"/>
      <c r="I441" s="180"/>
      <c r="J441" s="181"/>
      <c r="K441" s="181"/>
      <c r="L441" s="181"/>
      <c r="M441" s="181"/>
      <c r="N441" s="181"/>
      <c r="O441" s="181"/>
      <c r="P441" s="181"/>
      <c r="Q441" s="181"/>
      <c r="R441" s="181"/>
      <c r="S441" s="407"/>
    </row>
  </sheetData>
  <mergeCells count="31">
    <mergeCell ref="I5:O5"/>
    <mergeCell ref="P5:P8"/>
    <mergeCell ref="S121:S127"/>
    <mergeCell ref="S128:S129"/>
    <mergeCell ref="Q5:Q8"/>
    <mergeCell ref="I6:I8"/>
    <mergeCell ref="J6:J8"/>
    <mergeCell ref="K6:L6"/>
    <mergeCell ref="S35:S37"/>
    <mergeCell ref="S55:S59"/>
    <mergeCell ref="S88:S96"/>
    <mergeCell ref="K7:K8"/>
    <mergeCell ref="L7:L8"/>
    <mergeCell ref="N7:N8"/>
    <mergeCell ref="O7:O8"/>
    <mergeCell ref="H4:Q4"/>
    <mergeCell ref="H5:H8"/>
    <mergeCell ref="A1:B1"/>
    <mergeCell ref="G1:H1"/>
    <mergeCell ref="A2:S2"/>
    <mergeCell ref="A4:A8"/>
    <mergeCell ref="B4:B8"/>
    <mergeCell ref="C4:C8"/>
    <mergeCell ref="D4:D8"/>
    <mergeCell ref="E4:E8"/>
    <mergeCell ref="G4:G8"/>
    <mergeCell ref="F4:F8"/>
    <mergeCell ref="M6:M8"/>
    <mergeCell ref="N6:O6"/>
    <mergeCell ref="R4:R8"/>
    <mergeCell ref="S4:S8"/>
  </mergeCells>
  <printOptions horizontalCentered="1"/>
  <pageMargins left="0.19685039370078741" right="0.19685039370078741" top="0.27559055118110237" bottom="0.27559055118110237" header="0.43307086614173229" footer="0.31496062992125984"/>
  <pageSetup paperSize="9" scale="75"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2"/>
  <sheetViews>
    <sheetView workbookViewId="0">
      <selection activeCell="G8" sqref="G8"/>
    </sheetView>
  </sheetViews>
  <sheetFormatPr defaultColWidth="11.7109375" defaultRowHeight="12.75"/>
  <cols>
    <col min="1" max="1" width="5.42578125" style="510" customWidth="1"/>
    <col min="2" max="2" width="66.140625" style="464" customWidth="1"/>
    <col min="3" max="3" width="9.7109375" style="506" customWidth="1"/>
    <col min="4" max="4" width="16" style="524" customWidth="1"/>
    <col min="5" max="5" width="8.5703125" style="464" customWidth="1"/>
    <col min="6" max="7" width="11.7109375" style="464"/>
    <col min="8" max="8" width="15.42578125" style="464" bestFit="1" customWidth="1"/>
    <col min="9" max="16384" width="11.7109375" style="464"/>
  </cols>
  <sheetData>
    <row r="1" spans="1:9" ht="13.5">
      <c r="A1" s="625" t="s">
        <v>0</v>
      </c>
      <c r="B1" s="625"/>
      <c r="C1" s="463"/>
      <c r="D1" s="511"/>
    </row>
    <row r="2" spans="1:9">
      <c r="A2" s="626" t="s">
        <v>832</v>
      </c>
      <c r="B2" s="626"/>
      <c r="C2" s="626"/>
      <c r="D2" s="626"/>
      <c r="E2" s="626"/>
    </row>
    <row r="3" spans="1:9">
      <c r="A3" s="626" t="s">
        <v>833</v>
      </c>
      <c r="B3" s="626"/>
      <c r="C3" s="626"/>
      <c r="D3" s="626"/>
      <c r="E3" s="626"/>
    </row>
    <row r="4" spans="1:9">
      <c r="A4" s="627"/>
      <c r="B4" s="627"/>
      <c r="C4" s="627"/>
      <c r="D4" s="627"/>
      <c r="E4" s="627"/>
    </row>
    <row r="5" spans="1:9" ht="11.25" customHeight="1">
      <c r="A5" s="628" t="s">
        <v>4</v>
      </c>
      <c r="B5" s="628" t="s">
        <v>834</v>
      </c>
      <c r="C5" s="631" t="s">
        <v>835</v>
      </c>
      <c r="D5" s="631" t="s">
        <v>836</v>
      </c>
      <c r="E5" s="628" t="s">
        <v>242</v>
      </c>
    </row>
    <row r="6" spans="1:9" ht="16.5" customHeight="1">
      <c r="A6" s="629"/>
      <c r="B6" s="629"/>
      <c r="C6" s="632"/>
      <c r="D6" s="632"/>
      <c r="E6" s="629"/>
    </row>
    <row r="7" spans="1:9" s="465" customFormat="1" ht="14.25" customHeight="1">
      <c r="A7" s="630"/>
      <c r="B7" s="630"/>
      <c r="C7" s="633"/>
      <c r="D7" s="633"/>
      <c r="E7" s="630"/>
      <c r="F7" s="464"/>
    </row>
    <row r="8" spans="1:9" ht="14.25" customHeight="1">
      <c r="A8" s="507"/>
      <c r="B8" s="466" t="s">
        <v>547</v>
      </c>
      <c r="C8" s="467">
        <f>C10+C72+C113</f>
        <v>1007</v>
      </c>
      <c r="D8" s="516">
        <f>D9</f>
        <v>194224.48</v>
      </c>
      <c r="E8" s="468"/>
      <c r="F8" s="464">
        <v>194315.48</v>
      </c>
      <c r="G8" s="525">
        <f>F8-D8</f>
        <v>91</v>
      </c>
    </row>
    <row r="9" spans="1:9">
      <c r="A9" s="495" t="s">
        <v>11</v>
      </c>
      <c r="B9" s="470" t="s">
        <v>837</v>
      </c>
      <c r="C9" s="471">
        <f>C10+C72+C113</f>
        <v>1007</v>
      </c>
      <c r="D9" s="517">
        <f>D10+D72+D113+D190+D197</f>
        <v>194224.48</v>
      </c>
      <c r="E9" s="472"/>
      <c r="F9" s="473"/>
    </row>
    <row r="10" spans="1:9" s="465" customFormat="1">
      <c r="A10" s="495" t="s">
        <v>14</v>
      </c>
      <c r="B10" s="469" t="s">
        <v>838</v>
      </c>
      <c r="C10" s="471">
        <f>C11+C16+C20+C25+C29+C33+C43+C47+C51+C55+C59+C64+C68+C38</f>
        <v>285</v>
      </c>
      <c r="D10" s="518">
        <f>D11+D16+D20+D25+D29+D33+D38+D43+D47+D51+D55+D59+D64+D68</f>
        <v>41113.528000000006</v>
      </c>
      <c r="E10" s="472"/>
    </row>
    <row r="11" spans="1:9" s="465" customFormat="1">
      <c r="A11" s="495">
        <v>1</v>
      </c>
      <c r="B11" s="469" t="s">
        <v>839</v>
      </c>
      <c r="C11" s="474">
        <f>'[8]Quy luong 2022'!C13</f>
        <v>28</v>
      </c>
      <c r="D11" s="517">
        <f>SUM(D12:D15)</f>
        <v>3498.47</v>
      </c>
      <c r="E11" s="475"/>
    </row>
    <row r="12" spans="1:9" ht="15.75" customHeight="1">
      <c r="A12" s="480"/>
      <c r="B12" s="477" t="s">
        <v>840</v>
      </c>
      <c r="C12" s="476"/>
      <c r="D12" s="512">
        <v>3068</v>
      </c>
      <c r="E12" s="478"/>
    </row>
    <row r="13" spans="1:9">
      <c r="A13" s="480"/>
      <c r="B13" s="479" t="s">
        <v>841</v>
      </c>
      <c r="C13" s="476"/>
      <c r="D13" s="512">
        <f>C11*12</f>
        <v>336</v>
      </c>
      <c r="E13" s="478"/>
    </row>
    <row r="14" spans="1:9" s="482" customFormat="1">
      <c r="A14" s="480"/>
      <c r="B14" s="479" t="s">
        <v>842</v>
      </c>
      <c r="C14" s="480"/>
      <c r="D14" s="512">
        <v>90</v>
      </c>
      <c r="E14" s="481"/>
    </row>
    <row r="15" spans="1:9">
      <c r="A15" s="480"/>
      <c r="B15" s="479" t="s">
        <v>843</v>
      </c>
      <c r="C15" s="476"/>
      <c r="D15" s="512">
        <v>4.47</v>
      </c>
      <c r="E15" s="478"/>
      <c r="G15" s="483"/>
      <c r="H15" s="483"/>
      <c r="I15" s="483"/>
    </row>
    <row r="16" spans="1:9" s="465" customFormat="1">
      <c r="A16" s="495">
        <v>2</v>
      </c>
      <c r="B16" s="469" t="s">
        <v>844</v>
      </c>
      <c r="C16" s="474">
        <f>'[8]Quy luong 2022'!C55</f>
        <v>30</v>
      </c>
      <c r="D16" s="517">
        <f>SUM(D17:D19)</f>
        <v>4004.47</v>
      </c>
      <c r="E16" s="484"/>
      <c r="G16" s="485"/>
      <c r="H16" s="485"/>
      <c r="I16" s="485"/>
    </row>
    <row r="17" spans="1:5" ht="15.75" customHeight="1">
      <c r="A17" s="480"/>
      <c r="B17" s="477" t="s">
        <v>840</v>
      </c>
      <c r="C17" s="476"/>
      <c r="D17" s="512">
        <v>3640</v>
      </c>
      <c r="E17" s="478"/>
    </row>
    <row r="18" spans="1:5">
      <c r="A18" s="480"/>
      <c r="B18" s="479" t="s">
        <v>845</v>
      </c>
      <c r="C18" s="476"/>
      <c r="D18" s="512">
        <f>C16*12</f>
        <v>360</v>
      </c>
      <c r="E18" s="478"/>
    </row>
    <row r="19" spans="1:5">
      <c r="A19" s="480"/>
      <c r="B19" s="479" t="s">
        <v>843</v>
      </c>
      <c r="C19" s="476"/>
      <c r="D19" s="512">
        <v>4.47</v>
      </c>
      <c r="E19" s="478"/>
    </row>
    <row r="20" spans="1:5" s="465" customFormat="1">
      <c r="A20" s="495">
        <v>3</v>
      </c>
      <c r="B20" s="469" t="s">
        <v>846</v>
      </c>
      <c r="C20" s="474">
        <f>'[8]Quy luong 2022'!C336</f>
        <v>26</v>
      </c>
      <c r="D20" s="517">
        <f>SUM(D21:D24)</f>
        <v>3920.0699999999997</v>
      </c>
      <c r="E20" s="484"/>
    </row>
    <row r="21" spans="1:5" ht="15.75" customHeight="1">
      <c r="A21" s="480"/>
      <c r="B21" s="477" t="s">
        <v>840</v>
      </c>
      <c r="C21" s="476"/>
      <c r="D21" s="512">
        <v>3558</v>
      </c>
      <c r="E21" s="478"/>
    </row>
    <row r="22" spans="1:5">
      <c r="A22" s="480"/>
      <c r="B22" s="479" t="s">
        <v>847</v>
      </c>
      <c r="C22" s="476"/>
      <c r="D22" s="512">
        <f>(C20*12)+(C20*12*5%)</f>
        <v>327.60000000000002</v>
      </c>
      <c r="E22" s="478"/>
    </row>
    <row r="23" spans="1:5">
      <c r="A23" s="480"/>
      <c r="B23" s="479" t="s">
        <v>843</v>
      </c>
      <c r="C23" s="476"/>
      <c r="D23" s="512">
        <v>4.47</v>
      </c>
      <c r="E23" s="478"/>
    </row>
    <row r="24" spans="1:5">
      <c r="A24" s="480"/>
      <c r="B24" s="479" t="s">
        <v>848</v>
      </c>
      <c r="C24" s="476"/>
      <c r="D24" s="512">
        <v>30</v>
      </c>
      <c r="E24" s="478"/>
    </row>
    <row r="25" spans="1:5" s="465" customFormat="1">
      <c r="A25" s="495">
        <v>4</v>
      </c>
      <c r="B25" s="469" t="s">
        <v>849</v>
      </c>
      <c r="C25" s="474">
        <f>'[8]Quy luong 2022'!C310</f>
        <v>19</v>
      </c>
      <c r="D25" s="517">
        <f>SUM(D26:D28)</f>
        <v>3222.87</v>
      </c>
      <c r="E25" s="484"/>
    </row>
    <row r="26" spans="1:5" ht="15.75" customHeight="1">
      <c r="A26" s="480"/>
      <c r="B26" s="477" t="s">
        <v>840</v>
      </c>
      <c r="C26" s="476"/>
      <c r="D26" s="512">
        <v>2979</v>
      </c>
      <c r="E26" s="478"/>
    </row>
    <row r="27" spans="1:5">
      <c r="A27" s="480"/>
      <c r="B27" s="479" t="s">
        <v>850</v>
      </c>
      <c r="C27" s="476"/>
      <c r="D27" s="512">
        <f>C25*12+11.4</f>
        <v>239.4</v>
      </c>
      <c r="E27" s="486"/>
    </row>
    <row r="28" spans="1:5">
      <c r="A28" s="480"/>
      <c r="B28" s="479" t="s">
        <v>843</v>
      </c>
      <c r="C28" s="476"/>
      <c r="D28" s="512">
        <v>4.47</v>
      </c>
      <c r="E28" s="478"/>
    </row>
    <row r="29" spans="1:5" s="465" customFormat="1">
      <c r="A29" s="495">
        <v>5</v>
      </c>
      <c r="B29" s="469" t="s">
        <v>851</v>
      </c>
      <c r="C29" s="474">
        <f>'[8]Quy luong 2022'!C118</f>
        <v>19</v>
      </c>
      <c r="D29" s="517">
        <f>SUM(D30:D32)</f>
        <v>2268.4699999999998</v>
      </c>
      <c r="E29" s="475"/>
    </row>
    <row r="30" spans="1:5" ht="15.75" customHeight="1">
      <c r="A30" s="480"/>
      <c r="B30" s="477" t="s">
        <v>840</v>
      </c>
      <c r="C30" s="476"/>
      <c r="D30" s="512">
        <v>2036</v>
      </c>
      <c r="E30" s="478"/>
    </row>
    <row r="31" spans="1:5">
      <c r="A31" s="480"/>
      <c r="B31" s="479" t="s">
        <v>850</v>
      </c>
      <c r="C31" s="476"/>
      <c r="D31" s="512">
        <f>C29*12</f>
        <v>228</v>
      </c>
      <c r="E31" s="478"/>
    </row>
    <row r="32" spans="1:5">
      <c r="A32" s="480"/>
      <c r="B32" s="479" t="s">
        <v>843</v>
      </c>
      <c r="C32" s="476"/>
      <c r="D32" s="512">
        <v>4.47</v>
      </c>
      <c r="E32" s="478"/>
    </row>
    <row r="33" spans="1:5" s="465" customFormat="1">
      <c r="A33" s="495">
        <v>6</v>
      </c>
      <c r="B33" s="469" t="s">
        <v>852</v>
      </c>
      <c r="C33" s="474">
        <f>'[8]Quy luong 2022'!C283</f>
        <v>23</v>
      </c>
      <c r="D33" s="517">
        <f>SUM(D34:D37)</f>
        <v>3450.172</v>
      </c>
      <c r="E33" s="484"/>
    </row>
    <row r="34" spans="1:5">
      <c r="A34" s="480"/>
      <c r="B34" s="477" t="s">
        <v>840</v>
      </c>
      <c r="C34" s="476"/>
      <c r="D34" s="512">
        <v>3099</v>
      </c>
      <c r="E34" s="478"/>
    </row>
    <row r="35" spans="1:5">
      <c r="A35" s="480"/>
      <c r="B35" s="479" t="s">
        <v>853</v>
      </c>
      <c r="C35" s="476"/>
      <c r="D35" s="512">
        <f>C33*12+13.8</f>
        <v>289.8</v>
      </c>
      <c r="E35" s="486"/>
    </row>
    <row r="36" spans="1:5" s="482" customFormat="1">
      <c r="A36" s="480"/>
      <c r="B36" s="479" t="s">
        <v>854</v>
      </c>
      <c r="C36" s="480"/>
      <c r="D36" s="512">
        <v>56.902000000000001</v>
      </c>
      <c r="E36" s="481"/>
    </row>
    <row r="37" spans="1:5">
      <c r="A37" s="480"/>
      <c r="B37" s="479" t="s">
        <v>843</v>
      </c>
      <c r="C37" s="476"/>
      <c r="D37" s="512">
        <v>4.47</v>
      </c>
      <c r="E37" s="478"/>
    </row>
    <row r="38" spans="1:5" s="465" customFormat="1">
      <c r="A38" s="495">
        <v>7</v>
      </c>
      <c r="B38" s="469" t="s">
        <v>855</v>
      </c>
      <c r="C38" s="474">
        <f>'[8]Quy luong 2022'!C163</f>
        <v>28</v>
      </c>
      <c r="D38" s="517">
        <f>SUM(D39:D42)</f>
        <v>4239.3159999999998</v>
      </c>
      <c r="E38" s="475"/>
    </row>
    <row r="39" spans="1:5">
      <c r="A39" s="480"/>
      <c r="B39" s="477" t="s">
        <v>840</v>
      </c>
      <c r="C39" s="476"/>
      <c r="D39" s="512">
        <v>3845</v>
      </c>
      <c r="E39" s="478"/>
    </row>
    <row r="40" spans="1:5">
      <c r="A40" s="480"/>
      <c r="B40" s="479" t="s">
        <v>841</v>
      </c>
      <c r="C40" s="476"/>
      <c r="D40" s="512">
        <f>C38*12</f>
        <v>336</v>
      </c>
      <c r="E40" s="478"/>
    </row>
    <row r="41" spans="1:5" s="482" customFormat="1">
      <c r="A41" s="480"/>
      <c r="B41" s="479" t="s">
        <v>854</v>
      </c>
      <c r="C41" s="480"/>
      <c r="D41" s="512">
        <v>53.845999999999997</v>
      </c>
      <c r="E41" s="481"/>
    </row>
    <row r="42" spans="1:5">
      <c r="A42" s="480"/>
      <c r="B42" s="479" t="s">
        <v>843</v>
      </c>
      <c r="C42" s="476"/>
      <c r="D42" s="512">
        <v>4.47</v>
      </c>
      <c r="E42" s="478"/>
    </row>
    <row r="43" spans="1:5" s="465" customFormat="1">
      <c r="A43" s="495">
        <v>8</v>
      </c>
      <c r="B43" s="469" t="s">
        <v>856</v>
      </c>
      <c r="C43" s="474">
        <f>'[8]Quy luong 2022'!C264</f>
        <v>14</v>
      </c>
      <c r="D43" s="517">
        <f>SUM(D44:D46)</f>
        <v>2316.4699999999998</v>
      </c>
      <c r="E43" s="475"/>
    </row>
    <row r="44" spans="1:5">
      <c r="A44" s="480"/>
      <c r="B44" s="477" t="s">
        <v>840</v>
      </c>
      <c r="C44" s="476"/>
      <c r="D44" s="512">
        <v>2144</v>
      </c>
      <c r="E44" s="478"/>
    </row>
    <row r="45" spans="1:5">
      <c r="A45" s="480"/>
      <c r="B45" s="479" t="s">
        <v>857</v>
      </c>
      <c r="C45" s="476"/>
      <c r="D45" s="512">
        <f>C43*12</f>
        <v>168</v>
      </c>
      <c r="E45" s="478"/>
    </row>
    <row r="46" spans="1:5">
      <c r="A46" s="480"/>
      <c r="B46" s="479" t="s">
        <v>843</v>
      </c>
      <c r="C46" s="476"/>
      <c r="D46" s="512">
        <v>4.47</v>
      </c>
      <c r="E46" s="478"/>
    </row>
    <row r="47" spans="1:5" s="465" customFormat="1">
      <c r="A47" s="495">
        <v>9</v>
      </c>
      <c r="B47" s="469" t="s">
        <v>858</v>
      </c>
      <c r="C47" s="474">
        <f>'[8]Quy luong 2022'!C202</f>
        <v>16</v>
      </c>
      <c r="D47" s="517">
        <f>SUM(D48:D50)</f>
        <v>2846.47</v>
      </c>
      <c r="E47" s="475"/>
    </row>
    <row r="48" spans="1:5">
      <c r="A48" s="480"/>
      <c r="B48" s="477" t="s">
        <v>840</v>
      </c>
      <c r="C48" s="476"/>
      <c r="D48" s="512">
        <v>2650</v>
      </c>
      <c r="E48" s="478"/>
    </row>
    <row r="49" spans="1:5">
      <c r="A49" s="480"/>
      <c r="B49" s="479" t="s">
        <v>859</v>
      </c>
      <c r="C49" s="476"/>
      <c r="D49" s="512">
        <f>C47*12</f>
        <v>192</v>
      </c>
      <c r="E49" s="478"/>
    </row>
    <row r="50" spans="1:5">
      <c r="A50" s="480"/>
      <c r="B50" s="479" t="s">
        <v>843</v>
      </c>
      <c r="C50" s="476"/>
      <c r="D50" s="512">
        <v>4.47</v>
      </c>
      <c r="E50" s="478"/>
    </row>
    <row r="51" spans="1:5" s="465" customFormat="1">
      <c r="A51" s="495">
        <v>10</v>
      </c>
      <c r="B51" s="469" t="s">
        <v>860</v>
      </c>
      <c r="C51" s="474">
        <f>'[8]Quy luong 2022'!C143</f>
        <v>15</v>
      </c>
      <c r="D51" s="517">
        <f>SUM(D52:D54)</f>
        <v>1863.47</v>
      </c>
      <c r="E51" s="475"/>
    </row>
    <row r="52" spans="1:5">
      <c r="A52" s="480"/>
      <c r="B52" s="477" t="s">
        <v>840</v>
      </c>
      <c r="C52" s="476"/>
      <c r="D52" s="512">
        <v>1679</v>
      </c>
      <c r="E52" s="478"/>
    </row>
    <row r="53" spans="1:5">
      <c r="A53" s="480"/>
      <c r="B53" s="479" t="s">
        <v>861</v>
      </c>
      <c r="C53" s="476"/>
      <c r="D53" s="512">
        <f>C51*12</f>
        <v>180</v>
      </c>
      <c r="E53" s="478"/>
    </row>
    <row r="54" spans="1:5">
      <c r="A54" s="480"/>
      <c r="B54" s="479" t="s">
        <v>843</v>
      </c>
      <c r="C54" s="476"/>
      <c r="D54" s="512">
        <v>4.47</v>
      </c>
      <c r="E54" s="478"/>
    </row>
    <row r="55" spans="1:5" s="465" customFormat="1">
      <c r="A55" s="495">
        <v>11</v>
      </c>
      <c r="B55" s="469" t="s">
        <v>862</v>
      </c>
      <c r="C55" s="471">
        <f>'[8]Quy luong 2022'!C94</f>
        <v>19</v>
      </c>
      <c r="D55" s="517">
        <f>SUM(D56:D58)</f>
        <v>2452.4699999999998</v>
      </c>
      <c r="E55" s="475"/>
    </row>
    <row r="56" spans="1:5">
      <c r="A56" s="480"/>
      <c r="B56" s="477" t="s">
        <v>840</v>
      </c>
      <c r="C56" s="476"/>
      <c r="D56" s="512">
        <v>2220</v>
      </c>
      <c r="E56" s="478"/>
    </row>
    <row r="57" spans="1:5">
      <c r="A57" s="480"/>
      <c r="B57" s="479" t="s">
        <v>850</v>
      </c>
      <c r="C57" s="476"/>
      <c r="D57" s="512">
        <f>C55*12</f>
        <v>228</v>
      </c>
      <c r="E57" s="478"/>
    </row>
    <row r="58" spans="1:5">
      <c r="A58" s="480"/>
      <c r="B58" s="479" t="s">
        <v>843</v>
      </c>
      <c r="C58" s="476"/>
      <c r="D58" s="512">
        <v>4.47</v>
      </c>
      <c r="E58" s="478"/>
    </row>
    <row r="59" spans="1:5" s="465" customFormat="1">
      <c r="A59" s="495">
        <v>12</v>
      </c>
      <c r="B59" s="469" t="s">
        <v>863</v>
      </c>
      <c r="C59" s="474">
        <f>'[8]Quy luong 2022'!C224</f>
        <v>15</v>
      </c>
      <c r="D59" s="517">
        <f>SUM(D60:D63)</f>
        <v>2289.4699999999998</v>
      </c>
      <c r="E59" s="475"/>
    </row>
    <row r="60" spans="1:5">
      <c r="A60" s="480"/>
      <c r="B60" s="477" t="s">
        <v>840</v>
      </c>
      <c r="C60" s="476"/>
      <c r="D60" s="512">
        <v>2085</v>
      </c>
      <c r="E60" s="478"/>
    </row>
    <row r="61" spans="1:5">
      <c r="A61" s="480"/>
      <c r="B61" s="479" t="s">
        <v>861</v>
      </c>
      <c r="C61" s="476"/>
      <c r="D61" s="512">
        <f>C59*12</f>
        <v>180</v>
      </c>
      <c r="E61" s="478"/>
    </row>
    <row r="62" spans="1:5" ht="25.5">
      <c r="A62" s="480"/>
      <c r="B62" s="479" t="s">
        <v>864</v>
      </c>
      <c r="C62" s="476"/>
      <c r="D62" s="512">
        <v>20</v>
      </c>
      <c r="E62" s="478"/>
    </row>
    <row r="63" spans="1:5">
      <c r="A63" s="480"/>
      <c r="B63" s="479" t="s">
        <v>843</v>
      </c>
      <c r="C63" s="476"/>
      <c r="D63" s="512">
        <v>4.47</v>
      </c>
      <c r="E63" s="478"/>
    </row>
    <row r="64" spans="1:5" s="465" customFormat="1">
      <c r="A64" s="495">
        <v>13</v>
      </c>
      <c r="B64" s="469" t="s">
        <v>865</v>
      </c>
      <c r="C64" s="474">
        <f>'[8]Quy luong 2022'!C370</f>
        <v>19</v>
      </c>
      <c r="D64" s="517">
        <f>SUM(D65:D67)</f>
        <v>2737.87</v>
      </c>
      <c r="E64" s="484"/>
    </row>
    <row r="65" spans="1:5">
      <c r="A65" s="480"/>
      <c r="B65" s="477" t="s">
        <v>840</v>
      </c>
      <c r="C65" s="476"/>
      <c r="D65" s="512">
        <v>2494</v>
      </c>
      <c r="E65" s="478"/>
    </row>
    <row r="66" spans="1:5">
      <c r="A66" s="480"/>
      <c r="B66" s="479" t="s">
        <v>850</v>
      </c>
      <c r="C66" s="476"/>
      <c r="D66" s="512">
        <f>C64*12+11.4</f>
        <v>239.4</v>
      </c>
      <c r="E66" s="486"/>
    </row>
    <row r="67" spans="1:5">
      <c r="A67" s="480"/>
      <c r="B67" s="479" t="s">
        <v>843</v>
      </c>
      <c r="C67" s="476"/>
      <c r="D67" s="512">
        <v>4.47</v>
      </c>
      <c r="E67" s="478"/>
    </row>
    <row r="68" spans="1:5" s="465" customFormat="1">
      <c r="A68" s="495">
        <v>14</v>
      </c>
      <c r="B68" s="469" t="s">
        <v>866</v>
      </c>
      <c r="C68" s="474">
        <f>'[8]Quy luong 2022'!C246</f>
        <v>14</v>
      </c>
      <c r="D68" s="517">
        <f>SUM(D69:D71)</f>
        <v>2003.47</v>
      </c>
      <c r="E68" s="475"/>
    </row>
    <row r="69" spans="1:5">
      <c r="A69" s="480"/>
      <c r="B69" s="477" t="s">
        <v>840</v>
      </c>
      <c r="C69" s="476"/>
      <c r="D69" s="512">
        <v>1831</v>
      </c>
      <c r="E69" s="478"/>
    </row>
    <row r="70" spans="1:5">
      <c r="A70" s="480"/>
      <c r="B70" s="479" t="s">
        <v>857</v>
      </c>
      <c r="C70" s="476"/>
      <c r="D70" s="512">
        <f>C68*12</f>
        <v>168</v>
      </c>
      <c r="E70" s="478"/>
    </row>
    <row r="71" spans="1:5">
      <c r="A71" s="480"/>
      <c r="B71" s="479" t="s">
        <v>843</v>
      </c>
      <c r="C71" s="476"/>
      <c r="D71" s="512">
        <v>4.47</v>
      </c>
      <c r="E71" s="478"/>
    </row>
    <row r="72" spans="1:5" s="465" customFormat="1">
      <c r="A72" s="495" t="s">
        <v>70</v>
      </c>
      <c r="B72" s="469" t="s">
        <v>867</v>
      </c>
      <c r="C72" s="487">
        <f>C73+C77+C83+C89+C94+C98+C103+C108</f>
        <v>238</v>
      </c>
      <c r="D72" s="519">
        <f>D73+D77+D83+D89+D94+D98+D103+D108</f>
        <v>40792.787000000004</v>
      </c>
      <c r="E72" s="475"/>
    </row>
    <row r="73" spans="1:5" s="465" customFormat="1">
      <c r="A73" s="495">
        <v>1</v>
      </c>
      <c r="B73" s="469" t="s">
        <v>868</v>
      </c>
      <c r="C73" s="474">
        <f>'[8]Quy luong 2022'!C443</f>
        <v>21</v>
      </c>
      <c r="D73" s="517">
        <f>SUM(D74:D76)</f>
        <v>2916.47</v>
      </c>
      <c r="E73" s="475"/>
    </row>
    <row r="74" spans="1:5">
      <c r="A74" s="480"/>
      <c r="B74" s="477" t="s">
        <v>840</v>
      </c>
      <c r="C74" s="476"/>
      <c r="D74" s="512">
        <v>2660</v>
      </c>
      <c r="E74" s="478"/>
    </row>
    <row r="75" spans="1:5">
      <c r="A75" s="480"/>
      <c r="B75" s="479" t="s">
        <v>869</v>
      </c>
      <c r="C75" s="476"/>
      <c r="D75" s="512">
        <f>C73*12</f>
        <v>252</v>
      </c>
      <c r="E75" s="478"/>
    </row>
    <row r="76" spans="1:5">
      <c r="A76" s="480"/>
      <c r="B76" s="479" t="s">
        <v>843</v>
      </c>
      <c r="C76" s="476"/>
      <c r="D76" s="512">
        <v>4.47</v>
      </c>
      <c r="E76" s="478"/>
    </row>
    <row r="77" spans="1:5" s="465" customFormat="1">
      <c r="A77" s="495">
        <v>2</v>
      </c>
      <c r="B77" s="469" t="s">
        <v>870</v>
      </c>
      <c r="C77" s="474">
        <f>'[8]Quy luong 2022'!C683</f>
        <v>39</v>
      </c>
      <c r="D77" s="517">
        <f>SUM(D78:D82)</f>
        <v>6811.92</v>
      </c>
      <c r="E77" s="484"/>
    </row>
    <row r="78" spans="1:5">
      <c r="A78" s="480"/>
      <c r="B78" s="477" t="s">
        <v>840</v>
      </c>
      <c r="C78" s="476"/>
      <c r="D78" s="512">
        <v>6337</v>
      </c>
      <c r="E78" s="478"/>
    </row>
    <row r="79" spans="1:5">
      <c r="A79" s="480"/>
      <c r="B79" s="479" t="s">
        <v>871</v>
      </c>
      <c r="C79" s="476"/>
      <c r="D79" s="512">
        <f>C77*11+21.45</f>
        <v>450.45</v>
      </c>
      <c r="E79" s="486"/>
    </row>
    <row r="80" spans="1:5">
      <c r="A80" s="480"/>
      <c r="B80" s="479" t="s">
        <v>872</v>
      </c>
      <c r="C80" s="476"/>
      <c r="D80" s="512">
        <v>10</v>
      </c>
      <c r="E80" s="478"/>
    </row>
    <row r="81" spans="1:5" ht="25.5">
      <c r="A81" s="480"/>
      <c r="B81" s="479" t="s">
        <v>873</v>
      </c>
      <c r="C81" s="476"/>
      <c r="D81" s="512">
        <v>10</v>
      </c>
      <c r="E81" s="478"/>
    </row>
    <row r="82" spans="1:5">
      <c r="A82" s="480"/>
      <c r="B82" s="479" t="s">
        <v>843</v>
      </c>
      <c r="C82" s="476"/>
      <c r="D82" s="512">
        <v>4.47</v>
      </c>
      <c r="E82" s="478"/>
    </row>
    <row r="83" spans="1:5" s="465" customFormat="1">
      <c r="A83" s="495">
        <v>3</v>
      </c>
      <c r="B83" s="469" t="s">
        <v>874</v>
      </c>
      <c r="C83" s="474">
        <f>'[8]Quy luong 2022'!C564</f>
        <v>36</v>
      </c>
      <c r="D83" s="517">
        <f>SUM(D84:D88)</f>
        <v>6911.9970000000003</v>
      </c>
      <c r="E83" s="475"/>
    </row>
    <row r="84" spans="1:5">
      <c r="A84" s="480"/>
      <c r="B84" s="477" t="s">
        <v>840</v>
      </c>
      <c r="C84" s="476"/>
      <c r="D84" s="512">
        <v>6356</v>
      </c>
      <c r="E84" s="478"/>
    </row>
    <row r="85" spans="1:5">
      <c r="A85" s="480"/>
      <c r="B85" s="479" t="s">
        <v>875</v>
      </c>
      <c r="C85" s="476"/>
      <c r="D85" s="512">
        <f>C83*11+19.8</f>
        <v>415.8</v>
      </c>
      <c r="E85" s="486"/>
    </row>
    <row r="86" spans="1:5">
      <c r="A86" s="480"/>
      <c r="B86" s="479" t="s">
        <v>872</v>
      </c>
      <c r="C86" s="476"/>
      <c r="D86" s="512">
        <v>10</v>
      </c>
      <c r="E86" s="478"/>
    </row>
    <row r="87" spans="1:5" s="482" customFormat="1">
      <c r="A87" s="480"/>
      <c r="B87" s="479" t="s">
        <v>854</v>
      </c>
      <c r="C87" s="480"/>
      <c r="D87" s="512">
        <v>125.727</v>
      </c>
      <c r="E87" s="481"/>
    </row>
    <row r="88" spans="1:5">
      <c r="A88" s="480"/>
      <c r="B88" s="479" t="s">
        <v>876</v>
      </c>
      <c r="C88" s="476"/>
      <c r="D88" s="512">
        <v>4.47</v>
      </c>
      <c r="E88" s="478"/>
    </row>
    <row r="89" spans="1:5" s="465" customFormat="1">
      <c r="A89" s="495">
        <v>4</v>
      </c>
      <c r="B89" s="469" t="s">
        <v>877</v>
      </c>
      <c r="C89" s="474">
        <f>'[8]Quy luong 2022'!C606</f>
        <v>30</v>
      </c>
      <c r="D89" s="517">
        <f>SUM(D90:D93)</f>
        <v>5549.47</v>
      </c>
      <c r="E89" s="484"/>
    </row>
    <row r="90" spans="1:5">
      <c r="A90" s="480"/>
      <c r="B90" s="477" t="s">
        <v>840</v>
      </c>
      <c r="C90" s="476"/>
      <c r="D90" s="512">
        <v>5157</v>
      </c>
      <c r="E90" s="478"/>
    </row>
    <row r="91" spans="1:5">
      <c r="A91" s="480"/>
      <c r="B91" s="479" t="s">
        <v>878</v>
      </c>
      <c r="C91" s="476"/>
      <c r="D91" s="512">
        <f>C89*12+18</f>
        <v>378</v>
      </c>
      <c r="E91" s="486"/>
    </row>
    <row r="92" spans="1:5">
      <c r="A92" s="480"/>
      <c r="B92" s="479" t="s">
        <v>872</v>
      </c>
      <c r="C92" s="476"/>
      <c r="D92" s="512">
        <v>10</v>
      </c>
      <c r="E92" s="478"/>
    </row>
    <row r="93" spans="1:5">
      <c r="A93" s="480"/>
      <c r="B93" s="479" t="s">
        <v>843</v>
      </c>
      <c r="C93" s="476"/>
      <c r="D93" s="512">
        <v>4.47</v>
      </c>
      <c r="E93" s="478"/>
    </row>
    <row r="94" spans="1:5" s="465" customFormat="1">
      <c r="A94" s="495">
        <v>5</v>
      </c>
      <c r="B94" s="469" t="s">
        <v>879</v>
      </c>
      <c r="C94" s="474">
        <f>'[8]Quy luong 2022'!C506</f>
        <v>20</v>
      </c>
      <c r="D94" s="517">
        <f>SUM(D95:D97)</f>
        <v>3337.47</v>
      </c>
      <c r="E94" s="475"/>
    </row>
    <row r="95" spans="1:5">
      <c r="A95" s="480"/>
      <c r="B95" s="477" t="s">
        <v>840</v>
      </c>
      <c r="C95" s="476"/>
      <c r="D95" s="512">
        <v>3093</v>
      </c>
      <c r="E95" s="478"/>
    </row>
    <row r="96" spans="1:5">
      <c r="A96" s="480"/>
      <c r="B96" s="479" t="s">
        <v>880</v>
      </c>
      <c r="C96" s="476"/>
      <c r="D96" s="512">
        <f>C94*12</f>
        <v>240</v>
      </c>
      <c r="E96" s="478"/>
    </row>
    <row r="97" spans="1:5">
      <c r="A97" s="480"/>
      <c r="B97" s="479" t="s">
        <v>843</v>
      </c>
      <c r="C97" s="476"/>
      <c r="D97" s="512">
        <v>4.47</v>
      </c>
      <c r="E97" s="478"/>
    </row>
    <row r="98" spans="1:5" s="465" customFormat="1">
      <c r="A98" s="495">
        <v>6</v>
      </c>
      <c r="B98" s="469" t="s">
        <v>881</v>
      </c>
      <c r="C98" s="474">
        <f>'[8]Quy luong 2022'!C532</f>
        <v>22</v>
      </c>
      <c r="D98" s="517">
        <f>SUM(D99:D102)</f>
        <v>3942.47</v>
      </c>
      <c r="E98" s="475"/>
    </row>
    <row r="99" spans="1:5">
      <c r="A99" s="480"/>
      <c r="B99" s="477" t="s">
        <v>840</v>
      </c>
      <c r="C99" s="476"/>
      <c r="D99" s="512">
        <v>3664</v>
      </c>
      <c r="E99" s="478"/>
    </row>
    <row r="100" spans="1:5">
      <c r="A100" s="480"/>
      <c r="B100" s="479" t="s">
        <v>882</v>
      </c>
      <c r="C100" s="476"/>
      <c r="D100" s="512">
        <f>C98*12</f>
        <v>264</v>
      </c>
      <c r="E100" s="478"/>
    </row>
    <row r="101" spans="1:5">
      <c r="A101" s="480"/>
      <c r="B101" s="479" t="s">
        <v>872</v>
      </c>
      <c r="C101" s="476"/>
      <c r="D101" s="512">
        <v>10</v>
      </c>
      <c r="E101" s="478"/>
    </row>
    <row r="102" spans="1:5">
      <c r="A102" s="480"/>
      <c r="B102" s="479" t="s">
        <v>843</v>
      </c>
      <c r="C102" s="476"/>
      <c r="D102" s="512">
        <v>4.47</v>
      </c>
      <c r="E102" s="478"/>
    </row>
    <row r="103" spans="1:5" s="465" customFormat="1">
      <c r="A103" s="495">
        <v>7</v>
      </c>
      <c r="B103" s="469" t="s">
        <v>883</v>
      </c>
      <c r="C103" s="474">
        <f>'[8]Quy luong 2022'!C645</f>
        <v>31</v>
      </c>
      <c r="D103" s="517">
        <f>SUM(D104:D107)</f>
        <v>5944.52</v>
      </c>
      <c r="E103" s="484"/>
    </row>
    <row r="104" spans="1:5">
      <c r="A104" s="480"/>
      <c r="B104" s="477" t="s">
        <v>840</v>
      </c>
      <c r="C104" s="476"/>
      <c r="D104" s="512">
        <v>5572</v>
      </c>
      <c r="E104" s="478"/>
    </row>
    <row r="105" spans="1:5">
      <c r="A105" s="480"/>
      <c r="B105" s="479" t="s">
        <v>884</v>
      </c>
      <c r="C105" s="476"/>
      <c r="D105" s="512">
        <f>C103*11+17.05</f>
        <v>358.05</v>
      </c>
      <c r="E105" s="486"/>
    </row>
    <row r="106" spans="1:5" ht="25.5">
      <c r="A106" s="480"/>
      <c r="B106" s="479" t="s">
        <v>873</v>
      </c>
      <c r="C106" s="476"/>
      <c r="D106" s="512">
        <v>10</v>
      </c>
      <c r="E106" s="478"/>
    </row>
    <row r="107" spans="1:5">
      <c r="A107" s="480"/>
      <c r="B107" s="479" t="s">
        <v>843</v>
      </c>
      <c r="C107" s="476"/>
      <c r="D107" s="512">
        <v>4.47</v>
      </c>
      <c r="E107" s="478"/>
    </row>
    <row r="108" spans="1:5" s="465" customFormat="1">
      <c r="A108" s="495">
        <v>8</v>
      </c>
      <c r="B108" s="469" t="s">
        <v>885</v>
      </c>
      <c r="C108" s="474">
        <f>'[8]Quy luong 2022'!C396</f>
        <v>39</v>
      </c>
      <c r="D108" s="517">
        <f>SUM(D109:D112)</f>
        <v>5378.47</v>
      </c>
      <c r="E108" s="475"/>
    </row>
    <row r="109" spans="1:5">
      <c r="A109" s="480"/>
      <c r="B109" s="477" t="s">
        <v>840</v>
      </c>
      <c r="C109" s="476"/>
      <c r="D109" s="512">
        <v>4930</v>
      </c>
      <c r="E109" s="478"/>
    </row>
    <row r="110" spans="1:5">
      <c r="A110" s="480"/>
      <c r="B110" s="479" t="s">
        <v>871</v>
      </c>
      <c r="C110" s="476"/>
      <c r="D110" s="512">
        <f>C108*11</f>
        <v>429</v>
      </c>
      <c r="E110" s="478"/>
    </row>
    <row r="111" spans="1:5">
      <c r="A111" s="480"/>
      <c r="B111" s="479" t="s">
        <v>886</v>
      </c>
      <c r="C111" s="476"/>
      <c r="D111" s="512">
        <v>15</v>
      </c>
      <c r="E111" s="478"/>
    </row>
    <row r="112" spans="1:5">
      <c r="A112" s="480"/>
      <c r="B112" s="479" t="s">
        <v>843</v>
      </c>
      <c r="C112" s="476"/>
      <c r="D112" s="512">
        <v>4.47</v>
      </c>
      <c r="E112" s="478"/>
    </row>
    <row r="113" spans="1:5" s="465" customFormat="1">
      <c r="A113" s="495" t="s">
        <v>94</v>
      </c>
      <c r="B113" s="469" t="s">
        <v>887</v>
      </c>
      <c r="C113" s="474">
        <f>C114+C120+C125+C130+C134+C139+C143+C148+C152+C158+C163+C169+C173+C185+C181</f>
        <v>484</v>
      </c>
      <c r="D113" s="519">
        <f>D114+D120+D125+D130+D134+D139+D143+D148+D152+D158+D163+D169+D173+D181+D185</f>
        <v>81234.051000000007</v>
      </c>
      <c r="E113" s="488"/>
    </row>
    <row r="114" spans="1:5" s="465" customFormat="1">
      <c r="A114" s="495">
        <v>1</v>
      </c>
      <c r="B114" s="469" t="s">
        <v>888</v>
      </c>
      <c r="C114" s="474">
        <f>'[8]Quy luong 2022'!C737</f>
        <v>42</v>
      </c>
      <c r="D114" s="517">
        <f>D115+D116+D117+D118+D119</f>
        <v>5565.47</v>
      </c>
      <c r="E114" s="484"/>
    </row>
    <row r="115" spans="1:5">
      <c r="A115" s="480"/>
      <c r="B115" s="477" t="s">
        <v>840</v>
      </c>
      <c r="C115" s="476"/>
      <c r="D115" s="512">
        <v>5024</v>
      </c>
      <c r="E115" s="478"/>
    </row>
    <row r="116" spans="1:5">
      <c r="A116" s="480"/>
      <c r="B116" s="479" t="s">
        <v>889</v>
      </c>
      <c r="C116" s="476"/>
      <c r="D116" s="512">
        <f>C114*11</f>
        <v>462</v>
      </c>
      <c r="E116" s="478"/>
    </row>
    <row r="117" spans="1:5">
      <c r="A117" s="480"/>
      <c r="B117" s="479" t="s">
        <v>886</v>
      </c>
      <c r="C117" s="476"/>
      <c r="D117" s="512">
        <v>15</v>
      </c>
      <c r="E117" s="478"/>
    </row>
    <row r="118" spans="1:5">
      <c r="A118" s="480"/>
      <c r="B118" s="479" t="s">
        <v>843</v>
      </c>
      <c r="C118" s="476"/>
      <c r="D118" s="512">
        <v>4.47</v>
      </c>
      <c r="E118" s="478"/>
    </row>
    <row r="119" spans="1:5">
      <c r="A119" s="480"/>
      <c r="B119" s="479" t="s">
        <v>890</v>
      </c>
      <c r="C119" s="476"/>
      <c r="D119" s="512">
        <v>60</v>
      </c>
      <c r="E119" s="478"/>
    </row>
    <row r="120" spans="1:5" s="465" customFormat="1">
      <c r="A120" s="495">
        <v>2</v>
      </c>
      <c r="B120" s="469" t="s">
        <v>891</v>
      </c>
      <c r="C120" s="474">
        <f>'[8]Quy luong 2022'!C1055</f>
        <v>30</v>
      </c>
      <c r="D120" s="517">
        <f>SUM(D121:D124)</f>
        <v>5260.47</v>
      </c>
      <c r="E120" s="475"/>
    </row>
    <row r="121" spans="1:5">
      <c r="A121" s="480"/>
      <c r="B121" s="477" t="s">
        <v>840</v>
      </c>
      <c r="C121" s="476"/>
      <c r="D121" s="512">
        <v>4886</v>
      </c>
      <c r="E121" s="478"/>
    </row>
    <row r="122" spans="1:5">
      <c r="A122" s="480"/>
      <c r="B122" s="479" t="s">
        <v>845</v>
      </c>
      <c r="C122" s="476"/>
      <c r="D122" s="512">
        <f>C120*12</f>
        <v>360</v>
      </c>
      <c r="E122" s="478"/>
    </row>
    <row r="123" spans="1:5">
      <c r="A123" s="480"/>
      <c r="B123" s="479" t="s">
        <v>872</v>
      </c>
      <c r="C123" s="476"/>
      <c r="D123" s="512">
        <v>10</v>
      </c>
      <c r="E123" s="478"/>
    </row>
    <row r="124" spans="1:5">
      <c r="A124" s="480"/>
      <c r="B124" s="479" t="s">
        <v>843</v>
      </c>
      <c r="C124" s="476"/>
      <c r="D124" s="512">
        <v>4.47</v>
      </c>
      <c r="E124" s="478"/>
    </row>
    <row r="125" spans="1:5" s="465" customFormat="1">
      <c r="A125" s="495">
        <v>3</v>
      </c>
      <c r="B125" s="469" t="s">
        <v>892</v>
      </c>
      <c r="C125" s="474">
        <f>'[8]Quy luong 2022'!C1137</f>
        <v>27</v>
      </c>
      <c r="D125" s="517">
        <f>SUM(D126:D129)</f>
        <v>4893.47</v>
      </c>
      <c r="E125" s="475"/>
    </row>
    <row r="126" spans="1:5">
      <c r="A126" s="480"/>
      <c r="B126" s="477" t="s">
        <v>840</v>
      </c>
      <c r="C126" s="476"/>
      <c r="D126" s="512">
        <v>4555</v>
      </c>
      <c r="E126" s="478"/>
    </row>
    <row r="127" spans="1:5">
      <c r="A127" s="480"/>
      <c r="B127" s="479" t="s">
        <v>893</v>
      </c>
      <c r="C127" s="476"/>
      <c r="D127" s="512">
        <f>C125*12</f>
        <v>324</v>
      </c>
      <c r="E127" s="478"/>
    </row>
    <row r="128" spans="1:5">
      <c r="A128" s="480"/>
      <c r="B128" s="479" t="s">
        <v>872</v>
      </c>
      <c r="C128" s="476"/>
      <c r="D128" s="512">
        <v>10</v>
      </c>
      <c r="E128" s="478"/>
    </row>
    <row r="129" spans="1:5">
      <c r="A129" s="480"/>
      <c r="B129" s="479" t="s">
        <v>843</v>
      </c>
      <c r="C129" s="476"/>
      <c r="D129" s="512">
        <v>4.47</v>
      </c>
      <c r="E129" s="478"/>
    </row>
    <row r="130" spans="1:5" s="465" customFormat="1">
      <c r="A130" s="495">
        <v>4</v>
      </c>
      <c r="B130" s="469" t="s">
        <v>894</v>
      </c>
      <c r="C130" s="474">
        <f>'[8]Quy luong 2022'!C1022</f>
        <v>22</v>
      </c>
      <c r="D130" s="517">
        <f>SUM(D131:D133)</f>
        <v>3873.47</v>
      </c>
      <c r="E130" s="475"/>
    </row>
    <row r="131" spans="1:5">
      <c r="A131" s="480"/>
      <c r="B131" s="477" t="s">
        <v>840</v>
      </c>
      <c r="C131" s="476"/>
      <c r="D131" s="512">
        <v>3605</v>
      </c>
      <c r="E131" s="478"/>
    </row>
    <row r="132" spans="1:5">
      <c r="A132" s="480"/>
      <c r="B132" s="479" t="s">
        <v>882</v>
      </c>
      <c r="C132" s="476"/>
      <c r="D132" s="512">
        <f>C130*12</f>
        <v>264</v>
      </c>
      <c r="E132" s="478"/>
    </row>
    <row r="133" spans="1:5">
      <c r="A133" s="480"/>
      <c r="B133" s="479" t="s">
        <v>843</v>
      </c>
      <c r="C133" s="476"/>
      <c r="D133" s="512">
        <v>4.47</v>
      </c>
      <c r="E133" s="478"/>
    </row>
    <row r="134" spans="1:5" s="465" customFormat="1">
      <c r="A134" s="495">
        <v>5</v>
      </c>
      <c r="B134" s="469" t="s">
        <v>895</v>
      </c>
      <c r="C134" s="474">
        <f>'[8]Quy luong 2022'!C1171</f>
        <v>26</v>
      </c>
      <c r="D134" s="517">
        <f>SUM(D135:D138)</f>
        <v>4969.0700000000006</v>
      </c>
      <c r="E134" s="475"/>
    </row>
    <row r="135" spans="1:5">
      <c r="A135" s="480"/>
      <c r="B135" s="477" t="s">
        <v>840</v>
      </c>
      <c r="C135" s="476"/>
      <c r="D135" s="512">
        <v>4627</v>
      </c>
      <c r="E135" s="478"/>
    </row>
    <row r="136" spans="1:5">
      <c r="A136" s="480"/>
      <c r="B136" s="479" t="s">
        <v>896</v>
      </c>
      <c r="C136" s="476"/>
      <c r="D136" s="512">
        <f>C134*12+15.6</f>
        <v>327.60000000000002</v>
      </c>
      <c r="E136" s="486"/>
    </row>
    <row r="137" spans="1:5">
      <c r="A137" s="480"/>
      <c r="B137" s="479" t="s">
        <v>872</v>
      </c>
      <c r="C137" s="476"/>
      <c r="D137" s="512">
        <v>10</v>
      </c>
      <c r="E137" s="478"/>
    </row>
    <row r="138" spans="1:5">
      <c r="A138" s="480"/>
      <c r="B138" s="479" t="s">
        <v>843</v>
      </c>
      <c r="C138" s="476"/>
      <c r="D138" s="512">
        <v>4.47</v>
      </c>
      <c r="E138" s="478"/>
    </row>
    <row r="139" spans="1:5" s="465" customFormat="1">
      <c r="A139" s="495">
        <v>6</v>
      </c>
      <c r="B139" s="469" t="s">
        <v>897</v>
      </c>
      <c r="C139" s="474">
        <f>'[8]Quy luong 2022'!C920</f>
        <v>30</v>
      </c>
      <c r="D139" s="517">
        <f>SUM(D140:D142)</f>
        <v>4421.47</v>
      </c>
      <c r="E139" s="475"/>
    </row>
    <row r="140" spans="1:5">
      <c r="A140" s="480"/>
      <c r="B140" s="477" t="s">
        <v>840</v>
      </c>
      <c r="C140" s="476"/>
      <c r="D140" s="512">
        <v>4057</v>
      </c>
      <c r="E140" s="478"/>
    </row>
    <row r="141" spans="1:5">
      <c r="A141" s="480"/>
      <c r="B141" s="479" t="s">
        <v>898</v>
      </c>
      <c r="C141" s="476"/>
      <c r="D141" s="512">
        <f>C139*12</f>
        <v>360</v>
      </c>
      <c r="E141" s="478"/>
    </row>
    <row r="142" spans="1:5">
      <c r="A142" s="480"/>
      <c r="B142" s="479" t="s">
        <v>843</v>
      </c>
      <c r="C142" s="476"/>
      <c r="D142" s="512">
        <v>4.47</v>
      </c>
      <c r="E142" s="478"/>
    </row>
    <row r="143" spans="1:5" s="465" customFormat="1">
      <c r="A143" s="495">
        <v>7</v>
      </c>
      <c r="B143" s="469" t="s">
        <v>899</v>
      </c>
      <c r="C143" s="474">
        <f>'[8]Quy luong 2022'!C1206</f>
        <v>19</v>
      </c>
      <c r="D143" s="517">
        <f>SUM(D144:D147)</f>
        <v>3957.87</v>
      </c>
      <c r="E143" s="475"/>
    </row>
    <row r="144" spans="1:5">
      <c r="A144" s="480"/>
      <c r="B144" s="477" t="s">
        <v>840</v>
      </c>
      <c r="C144" s="476"/>
      <c r="D144" s="512">
        <v>3704</v>
      </c>
      <c r="E144" s="478"/>
    </row>
    <row r="145" spans="1:5">
      <c r="A145" s="480"/>
      <c r="B145" s="479" t="s">
        <v>850</v>
      </c>
      <c r="C145" s="476"/>
      <c r="D145" s="512">
        <f>C143*12+11.4</f>
        <v>239.4</v>
      </c>
      <c r="E145" s="486"/>
    </row>
    <row r="146" spans="1:5">
      <c r="A146" s="480"/>
      <c r="B146" s="479" t="s">
        <v>872</v>
      </c>
      <c r="C146" s="476"/>
      <c r="D146" s="512">
        <v>10</v>
      </c>
      <c r="E146" s="478"/>
    </row>
    <row r="147" spans="1:5">
      <c r="A147" s="480"/>
      <c r="B147" s="479" t="s">
        <v>843</v>
      </c>
      <c r="C147" s="476"/>
      <c r="D147" s="512">
        <v>4.47</v>
      </c>
      <c r="E147" s="478"/>
    </row>
    <row r="148" spans="1:5" s="465" customFormat="1">
      <c r="A148" s="495">
        <v>8</v>
      </c>
      <c r="B148" s="469" t="s">
        <v>900</v>
      </c>
      <c r="C148" s="474">
        <f>'[8]Quy luong 2022'!C832</f>
        <v>33</v>
      </c>
      <c r="D148" s="517">
        <f>SUM(D149:D151)</f>
        <v>5182.47</v>
      </c>
      <c r="E148" s="475"/>
    </row>
    <row r="149" spans="1:5">
      <c r="A149" s="480"/>
      <c r="B149" s="477" t="s">
        <v>840</v>
      </c>
      <c r="C149" s="476"/>
      <c r="D149" s="512">
        <v>4795</v>
      </c>
      <c r="E149" s="478"/>
    </row>
    <row r="150" spans="1:5">
      <c r="A150" s="480"/>
      <c r="B150" s="479" t="s">
        <v>901</v>
      </c>
      <c r="C150" s="476"/>
      <c r="D150" s="512">
        <f>C148*11+20</f>
        <v>383</v>
      </c>
      <c r="E150" s="478"/>
    </row>
    <row r="151" spans="1:5">
      <c r="A151" s="480"/>
      <c r="B151" s="479" t="s">
        <v>876</v>
      </c>
      <c r="C151" s="476"/>
      <c r="D151" s="512">
        <v>4.47</v>
      </c>
      <c r="E151" s="478"/>
    </row>
    <row r="152" spans="1:5" s="465" customFormat="1">
      <c r="A152" s="495">
        <v>9</v>
      </c>
      <c r="B152" s="469" t="s">
        <v>902</v>
      </c>
      <c r="C152" s="474">
        <f>'[8]Quy luong 2022'!C1277</f>
        <v>40</v>
      </c>
      <c r="D152" s="517">
        <f>SUM(D153:D157)</f>
        <v>6916.47</v>
      </c>
      <c r="E152" s="484"/>
    </row>
    <row r="153" spans="1:5">
      <c r="A153" s="480"/>
      <c r="B153" s="477" t="s">
        <v>840</v>
      </c>
      <c r="C153" s="476"/>
      <c r="D153" s="512">
        <v>6430</v>
      </c>
      <c r="E153" s="478"/>
    </row>
    <row r="154" spans="1:5">
      <c r="A154" s="480"/>
      <c r="B154" s="479" t="s">
        <v>903</v>
      </c>
      <c r="C154" s="476"/>
      <c r="D154" s="512">
        <f>C152*11+22</f>
        <v>462</v>
      </c>
      <c r="E154" s="486"/>
    </row>
    <row r="155" spans="1:5">
      <c r="A155" s="480"/>
      <c r="B155" s="479" t="s">
        <v>872</v>
      </c>
      <c r="C155" s="476"/>
      <c r="D155" s="512">
        <v>10</v>
      </c>
      <c r="E155" s="478"/>
    </row>
    <row r="156" spans="1:5" ht="25.5">
      <c r="A156" s="480"/>
      <c r="B156" s="479" t="s">
        <v>873</v>
      </c>
      <c r="C156" s="476"/>
      <c r="D156" s="512">
        <v>10</v>
      </c>
      <c r="E156" s="478"/>
    </row>
    <row r="157" spans="1:5">
      <c r="A157" s="480"/>
      <c r="B157" s="479" t="s">
        <v>843</v>
      </c>
      <c r="C157" s="476"/>
      <c r="D157" s="512">
        <v>4.47</v>
      </c>
      <c r="E157" s="478"/>
    </row>
    <row r="158" spans="1:5" s="465" customFormat="1">
      <c r="A158" s="495">
        <v>10</v>
      </c>
      <c r="B158" s="469" t="s">
        <v>904</v>
      </c>
      <c r="C158" s="474">
        <f>'[8]Quy luong 2022'!C1100</f>
        <v>28</v>
      </c>
      <c r="D158" s="517">
        <f>SUM(D159:D162)</f>
        <v>5352.47</v>
      </c>
      <c r="E158" s="475"/>
    </row>
    <row r="159" spans="1:5">
      <c r="A159" s="480"/>
      <c r="B159" s="477" t="s">
        <v>840</v>
      </c>
      <c r="C159" s="476"/>
      <c r="D159" s="512">
        <v>5002</v>
      </c>
      <c r="E159" s="478"/>
    </row>
    <row r="160" spans="1:5">
      <c r="A160" s="480"/>
      <c r="B160" s="479" t="s">
        <v>841</v>
      </c>
      <c r="C160" s="476"/>
      <c r="D160" s="512">
        <f>C158*12</f>
        <v>336</v>
      </c>
      <c r="E160" s="478"/>
    </row>
    <row r="161" spans="1:5">
      <c r="A161" s="480"/>
      <c r="B161" s="479" t="s">
        <v>872</v>
      </c>
      <c r="C161" s="476"/>
      <c r="D161" s="512">
        <v>10</v>
      </c>
      <c r="E161" s="478"/>
    </row>
    <row r="162" spans="1:5">
      <c r="A162" s="480"/>
      <c r="B162" s="479" t="s">
        <v>843</v>
      </c>
      <c r="C162" s="476"/>
      <c r="D162" s="512">
        <v>4.47</v>
      </c>
      <c r="E162" s="478"/>
    </row>
    <row r="163" spans="1:5" s="465" customFormat="1">
      <c r="A163" s="495">
        <v>11</v>
      </c>
      <c r="B163" s="469" t="s">
        <v>905</v>
      </c>
      <c r="C163" s="474">
        <f>'[8]Quy luong 2022'!C957</f>
        <v>53</v>
      </c>
      <c r="D163" s="517">
        <f>SUM(D164:D168)</f>
        <v>10200.120999999999</v>
      </c>
      <c r="E163" s="475"/>
    </row>
    <row r="164" spans="1:5">
      <c r="A164" s="480"/>
      <c r="B164" s="477" t="s">
        <v>840</v>
      </c>
      <c r="C164" s="476"/>
      <c r="D164" s="512">
        <v>9515</v>
      </c>
      <c r="E164" s="478"/>
    </row>
    <row r="165" spans="1:5">
      <c r="A165" s="480"/>
      <c r="B165" s="479" t="s">
        <v>906</v>
      </c>
      <c r="C165" s="476"/>
      <c r="D165" s="512">
        <f>C163*11</f>
        <v>583</v>
      </c>
      <c r="E165" s="478"/>
    </row>
    <row r="166" spans="1:5" s="482" customFormat="1">
      <c r="A166" s="480"/>
      <c r="B166" s="479" t="s">
        <v>854</v>
      </c>
      <c r="C166" s="480"/>
      <c r="D166" s="512">
        <v>87.650999999999996</v>
      </c>
      <c r="E166" s="481"/>
    </row>
    <row r="167" spans="1:5" ht="25.5">
      <c r="A167" s="480"/>
      <c r="B167" s="479" t="s">
        <v>873</v>
      </c>
      <c r="C167" s="476"/>
      <c r="D167" s="512">
        <v>10</v>
      </c>
      <c r="E167" s="478"/>
    </row>
    <row r="168" spans="1:5">
      <c r="A168" s="480"/>
      <c r="B168" s="479" t="s">
        <v>843</v>
      </c>
      <c r="C168" s="476"/>
      <c r="D168" s="512">
        <v>4.47</v>
      </c>
      <c r="E168" s="478"/>
    </row>
    <row r="169" spans="1:5" s="465" customFormat="1">
      <c r="A169" s="495">
        <v>12</v>
      </c>
      <c r="B169" s="469" t="s">
        <v>907</v>
      </c>
      <c r="C169" s="474">
        <f>'[8]Quy luong 2022'!C873</f>
        <v>37</v>
      </c>
      <c r="D169" s="517">
        <f>SUM(D170:D172)</f>
        <v>5325.47</v>
      </c>
      <c r="E169" s="484"/>
    </row>
    <row r="170" spans="1:5">
      <c r="A170" s="480"/>
      <c r="B170" s="477" t="s">
        <v>840</v>
      </c>
      <c r="C170" s="476"/>
      <c r="D170" s="512">
        <v>4914</v>
      </c>
      <c r="E170" s="478"/>
    </row>
    <row r="171" spans="1:5">
      <c r="A171" s="480"/>
      <c r="B171" s="479" t="s">
        <v>908</v>
      </c>
      <c r="C171" s="476"/>
      <c r="D171" s="512">
        <f>C169*11</f>
        <v>407</v>
      </c>
      <c r="E171" s="478"/>
    </row>
    <row r="172" spans="1:5">
      <c r="A172" s="480"/>
      <c r="B172" s="479" t="s">
        <v>843</v>
      </c>
      <c r="C172" s="476"/>
      <c r="D172" s="512">
        <v>4.47</v>
      </c>
      <c r="E172" s="478"/>
    </row>
    <row r="173" spans="1:5" s="465" customFormat="1">
      <c r="A173" s="495">
        <v>13</v>
      </c>
      <c r="B173" s="469" t="s">
        <v>909</v>
      </c>
      <c r="C173" s="474">
        <f>'[8]Quy luong 2022'!C1234</f>
        <v>35</v>
      </c>
      <c r="D173" s="517">
        <f>SUM(D174:D180)</f>
        <v>6495.72</v>
      </c>
      <c r="E173" s="484"/>
    </row>
    <row r="174" spans="1:5">
      <c r="A174" s="495"/>
      <c r="B174" s="489" t="s">
        <v>910</v>
      </c>
      <c r="C174" s="490"/>
      <c r="D174" s="512"/>
      <c r="E174" s="478"/>
    </row>
    <row r="175" spans="1:5">
      <c r="A175" s="495"/>
      <c r="B175" s="489" t="s">
        <v>227</v>
      </c>
      <c r="C175" s="490"/>
      <c r="D175" s="512"/>
      <c r="E175" s="478"/>
    </row>
    <row r="176" spans="1:5">
      <c r="A176" s="480"/>
      <c r="B176" s="477" t="s">
        <v>840</v>
      </c>
      <c r="C176" s="476"/>
      <c r="D176" s="512">
        <v>6067</v>
      </c>
      <c r="E176" s="478"/>
    </row>
    <row r="177" spans="1:5">
      <c r="A177" s="480"/>
      <c r="B177" s="479" t="s">
        <v>911</v>
      </c>
      <c r="C177" s="476"/>
      <c r="D177" s="512">
        <f>C173*11+19.25</f>
        <v>404.25</v>
      </c>
      <c r="E177" s="486"/>
    </row>
    <row r="178" spans="1:5">
      <c r="A178" s="480"/>
      <c r="B178" s="479" t="s">
        <v>872</v>
      </c>
      <c r="C178" s="476"/>
      <c r="D178" s="512">
        <v>10</v>
      </c>
      <c r="E178" s="478"/>
    </row>
    <row r="179" spans="1:5" ht="25.5">
      <c r="A179" s="480"/>
      <c r="B179" s="479" t="s">
        <v>912</v>
      </c>
      <c r="C179" s="476"/>
      <c r="D179" s="512">
        <v>10</v>
      </c>
      <c r="E179" s="478"/>
    </row>
    <row r="180" spans="1:5">
      <c r="A180" s="480"/>
      <c r="B180" s="479" t="s">
        <v>843</v>
      </c>
      <c r="C180" s="476"/>
      <c r="D180" s="512">
        <v>4.47</v>
      </c>
      <c r="E180" s="478"/>
    </row>
    <row r="181" spans="1:5" s="465" customFormat="1">
      <c r="A181" s="495">
        <v>14</v>
      </c>
      <c r="B181" s="469" t="s">
        <v>913</v>
      </c>
      <c r="C181" s="474">
        <f>'[8]Quy luong 2022'!C470</f>
        <v>31</v>
      </c>
      <c r="D181" s="517">
        <f>SUM(D182:D184)</f>
        <v>4484.47</v>
      </c>
      <c r="E181" s="484"/>
    </row>
    <row r="182" spans="1:5">
      <c r="A182" s="480"/>
      <c r="B182" s="477" t="s">
        <v>840</v>
      </c>
      <c r="C182" s="476"/>
      <c r="D182" s="512">
        <v>4139</v>
      </c>
      <c r="E182" s="478"/>
    </row>
    <row r="183" spans="1:5">
      <c r="A183" s="480"/>
      <c r="B183" s="479" t="s">
        <v>884</v>
      </c>
      <c r="C183" s="476"/>
      <c r="D183" s="512">
        <f>C181*11</f>
        <v>341</v>
      </c>
      <c r="E183" s="478"/>
    </row>
    <row r="184" spans="1:5">
      <c r="A184" s="480"/>
      <c r="B184" s="479" t="s">
        <v>843</v>
      </c>
      <c r="C184" s="476"/>
      <c r="D184" s="512">
        <v>4.47</v>
      </c>
      <c r="E184" s="478"/>
    </row>
    <row r="185" spans="1:5" s="465" customFormat="1">
      <c r="A185" s="495">
        <v>15</v>
      </c>
      <c r="B185" s="469" t="s">
        <v>914</v>
      </c>
      <c r="C185" s="474">
        <f>'[8]Quy luong 2022'!C792</f>
        <v>31</v>
      </c>
      <c r="D185" s="517">
        <f>SUM(D186:D189)</f>
        <v>4335.5700000000006</v>
      </c>
      <c r="E185" s="484"/>
    </row>
    <row r="186" spans="1:5">
      <c r="A186" s="480"/>
      <c r="B186" s="477" t="s">
        <v>840</v>
      </c>
      <c r="C186" s="476"/>
      <c r="D186" s="512">
        <v>3886</v>
      </c>
      <c r="E186" s="478"/>
    </row>
    <row r="187" spans="1:5">
      <c r="A187" s="480"/>
      <c r="B187" s="479" t="s">
        <v>884</v>
      </c>
      <c r="C187" s="476"/>
      <c r="D187" s="512">
        <f>(C185*11)+(C185*11*10%)</f>
        <v>375.1</v>
      </c>
      <c r="E187" s="478"/>
    </row>
    <row r="188" spans="1:5" s="482" customFormat="1">
      <c r="A188" s="480"/>
      <c r="B188" s="479" t="s">
        <v>915</v>
      </c>
      <c r="C188" s="480"/>
      <c r="D188" s="512">
        <v>70</v>
      </c>
      <c r="E188" s="481"/>
    </row>
    <row r="189" spans="1:5">
      <c r="A189" s="480"/>
      <c r="B189" s="479" t="s">
        <v>843</v>
      </c>
      <c r="C189" s="476"/>
      <c r="D189" s="512">
        <v>4.47</v>
      </c>
      <c r="E189" s="478"/>
    </row>
    <row r="190" spans="1:5" s="465" customFormat="1">
      <c r="A190" s="495" t="s">
        <v>98</v>
      </c>
      <c r="B190" s="491" t="s">
        <v>268</v>
      </c>
      <c r="C190" s="492"/>
      <c r="D190" s="492">
        <f>D191+D196</f>
        <v>4170</v>
      </c>
      <c r="E190" s="469"/>
    </row>
    <row r="191" spans="1:5">
      <c r="A191" s="493">
        <v>1</v>
      </c>
      <c r="B191" s="494" t="s">
        <v>916</v>
      </c>
      <c r="C191" s="490"/>
      <c r="D191" s="492">
        <f>D192+D193+D194+D195</f>
        <v>3220</v>
      </c>
      <c r="E191" s="489"/>
    </row>
    <row r="192" spans="1:5">
      <c r="A192" s="493"/>
      <c r="B192" s="479" t="s">
        <v>917</v>
      </c>
      <c r="C192" s="490"/>
      <c r="D192" s="520">
        <v>550</v>
      </c>
      <c r="E192" s="489"/>
    </row>
    <row r="193" spans="1:5" ht="25.5">
      <c r="A193" s="493"/>
      <c r="B193" s="479" t="s">
        <v>918</v>
      </c>
      <c r="C193" s="490"/>
      <c r="D193" s="513">
        <v>2100</v>
      </c>
      <c r="E193" s="489"/>
    </row>
    <row r="194" spans="1:5" ht="25.5">
      <c r="A194" s="493"/>
      <c r="B194" s="479" t="s">
        <v>919</v>
      </c>
      <c r="C194" s="490"/>
      <c r="D194" s="513">
        <v>500</v>
      </c>
      <c r="E194" s="489"/>
    </row>
    <row r="195" spans="1:5">
      <c r="A195" s="493"/>
      <c r="B195" s="479" t="s">
        <v>920</v>
      </c>
      <c r="C195" s="490"/>
      <c r="D195" s="513">
        <v>70</v>
      </c>
      <c r="E195" s="489"/>
    </row>
    <row r="196" spans="1:5" ht="27">
      <c r="A196" s="495">
        <v>2</v>
      </c>
      <c r="B196" s="496" t="s">
        <v>921</v>
      </c>
      <c r="C196" s="491"/>
      <c r="D196" s="514">
        <v>950</v>
      </c>
      <c r="E196" s="489"/>
    </row>
    <row r="197" spans="1:5" s="465" customFormat="1">
      <c r="A197" s="495" t="s">
        <v>105</v>
      </c>
      <c r="B197" s="491" t="s">
        <v>922</v>
      </c>
      <c r="C197" s="491"/>
      <c r="D197" s="515">
        <f>D198+D212</f>
        <v>26914.113999999998</v>
      </c>
      <c r="E197" s="491"/>
    </row>
    <row r="198" spans="1:5" s="465" customFormat="1">
      <c r="A198" s="495" t="s">
        <v>204</v>
      </c>
      <c r="B198" s="491" t="s">
        <v>923</v>
      </c>
      <c r="C198" s="491"/>
      <c r="D198" s="515">
        <f>SUM(D199:D205)</f>
        <v>7305.2640000000001</v>
      </c>
      <c r="E198" s="491"/>
    </row>
    <row r="199" spans="1:5">
      <c r="A199" s="497">
        <v>1</v>
      </c>
      <c r="B199" s="498" t="s">
        <v>924</v>
      </c>
      <c r="C199" s="490"/>
      <c r="D199" s="520">
        <v>889</v>
      </c>
      <c r="E199" s="489"/>
    </row>
    <row r="200" spans="1:5">
      <c r="A200" s="497">
        <v>2</v>
      </c>
      <c r="B200" s="498" t="s">
        <v>925</v>
      </c>
      <c r="C200" s="490"/>
      <c r="D200" s="520">
        <f>1074+580</f>
        <v>1654</v>
      </c>
      <c r="E200" s="489"/>
    </row>
    <row r="201" spans="1:5" ht="25.5">
      <c r="A201" s="497">
        <v>3</v>
      </c>
      <c r="B201" s="498" t="s">
        <v>926</v>
      </c>
      <c r="C201" s="490"/>
      <c r="D201" s="520">
        <v>31</v>
      </c>
      <c r="E201" s="489"/>
    </row>
    <row r="202" spans="1:5">
      <c r="A202" s="497">
        <v>4</v>
      </c>
      <c r="B202" s="498" t="s">
        <v>927</v>
      </c>
      <c r="C202" s="490"/>
      <c r="D202" s="520">
        <v>435</v>
      </c>
      <c r="E202" s="489"/>
    </row>
    <row r="203" spans="1:5">
      <c r="A203" s="497">
        <v>5</v>
      </c>
      <c r="B203" s="498" t="s">
        <v>928</v>
      </c>
      <c r="C203" s="490"/>
      <c r="D203" s="520">
        <v>235</v>
      </c>
      <c r="E203" s="489"/>
    </row>
    <row r="204" spans="1:5" ht="25.5">
      <c r="A204" s="497">
        <v>6</v>
      </c>
      <c r="B204" s="498" t="s">
        <v>929</v>
      </c>
      <c r="C204" s="490"/>
      <c r="D204" s="520">
        <v>321</v>
      </c>
      <c r="E204" s="489"/>
    </row>
    <row r="205" spans="1:5">
      <c r="A205" s="493">
        <v>7</v>
      </c>
      <c r="B205" s="494" t="s">
        <v>930</v>
      </c>
      <c r="C205" s="474"/>
      <c r="D205" s="515">
        <f>SUM(D206:D211)</f>
        <v>3740.2640000000001</v>
      </c>
      <c r="E205" s="489"/>
    </row>
    <row r="206" spans="1:5" ht="25.5">
      <c r="A206" s="497"/>
      <c r="B206" s="479" t="s">
        <v>931</v>
      </c>
      <c r="C206" s="476"/>
      <c r="D206" s="521">
        <v>850</v>
      </c>
      <c r="E206" s="489"/>
    </row>
    <row r="207" spans="1:5">
      <c r="A207" s="497"/>
      <c r="B207" s="479" t="s">
        <v>932</v>
      </c>
      <c r="C207" s="476"/>
      <c r="D207" s="521">
        <v>550</v>
      </c>
      <c r="E207" s="489"/>
    </row>
    <row r="208" spans="1:5" ht="25.5">
      <c r="A208" s="497"/>
      <c r="B208" s="479" t="s">
        <v>933</v>
      </c>
      <c r="C208" s="476"/>
      <c r="D208" s="521">
        <v>600</v>
      </c>
      <c r="E208" s="489"/>
    </row>
    <row r="209" spans="1:5" ht="25.5">
      <c r="A209" s="497"/>
      <c r="B209" s="479" t="s">
        <v>934</v>
      </c>
      <c r="C209" s="476"/>
      <c r="D209" s="521">
        <v>500</v>
      </c>
      <c r="E209" s="489"/>
    </row>
    <row r="210" spans="1:5" ht="25.5">
      <c r="A210" s="497"/>
      <c r="B210" s="479" t="s">
        <v>935</v>
      </c>
      <c r="C210" s="476"/>
      <c r="D210" s="521">
        <v>800</v>
      </c>
      <c r="E210" s="489"/>
    </row>
    <row r="211" spans="1:5">
      <c r="A211" s="497"/>
      <c r="B211" s="479" t="s">
        <v>936</v>
      </c>
      <c r="C211" s="476"/>
      <c r="D211" s="521">
        <v>440.26400000000001</v>
      </c>
      <c r="E211" s="489"/>
    </row>
    <row r="212" spans="1:5" s="465" customFormat="1">
      <c r="A212" s="495" t="s">
        <v>206</v>
      </c>
      <c r="B212" s="491" t="s">
        <v>937</v>
      </c>
      <c r="C212" s="491"/>
      <c r="D212" s="515">
        <f>D213+D214+D215+D216+D219+D220+D221</f>
        <v>19608.849999999999</v>
      </c>
      <c r="E212" s="491"/>
    </row>
    <row r="213" spans="1:5">
      <c r="A213" s="497">
        <v>1</v>
      </c>
      <c r="B213" s="498" t="s">
        <v>924</v>
      </c>
      <c r="C213" s="490"/>
      <c r="D213" s="520">
        <v>6100</v>
      </c>
      <c r="E213" s="489"/>
    </row>
    <row r="214" spans="1:5">
      <c r="A214" s="497">
        <v>2</v>
      </c>
      <c r="B214" s="498" t="s">
        <v>938</v>
      </c>
      <c r="C214" s="490"/>
      <c r="D214" s="520">
        <v>3890</v>
      </c>
      <c r="E214" s="489"/>
    </row>
    <row r="215" spans="1:5" ht="25.5">
      <c r="A215" s="497">
        <v>3</v>
      </c>
      <c r="B215" s="498" t="s">
        <v>926</v>
      </c>
      <c r="C215" s="490"/>
      <c r="D215" s="520">
        <v>790</v>
      </c>
      <c r="E215" s="489"/>
    </row>
    <row r="216" spans="1:5">
      <c r="A216" s="497">
        <v>4</v>
      </c>
      <c r="B216" s="498" t="s">
        <v>939</v>
      </c>
      <c r="C216" s="490"/>
      <c r="D216" s="512">
        <f>SUM(D217:D218)</f>
        <v>3828.85</v>
      </c>
      <c r="E216" s="489"/>
    </row>
    <row r="217" spans="1:5" s="502" customFormat="1">
      <c r="A217" s="508"/>
      <c r="B217" s="500" t="s">
        <v>940</v>
      </c>
      <c r="C217" s="501"/>
      <c r="D217" s="520">
        <v>3140</v>
      </c>
      <c r="E217" s="499"/>
    </row>
    <row r="218" spans="1:5" s="502" customFormat="1">
      <c r="A218" s="508"/>
      <c r="B218" s="500" t="s">
        <v>941</v>
      </c>
      <c r="C218" s="501"/>
      <c r="D218" s="512">
        <v>688.85</v>
      </c>
      <c r="E218" s="499"/>
    </row>
    <row r="219" spans="1:5">
      <c r="A219" s="497">
        <v>5</v>
      </c>
      <c r="B219" s="498" t="s">
        <v>927</v>
      </c>
      <c r="C219" s="490"/>
      <c r="D219" s="520">
        <v>2524</v>
      </c>
      <c r="E219" s="489"/>
    </row>
    <row r="220" spans="1:5" ht="25.5">
      <c r="A220" s="497">
        <v>6</v>
      </c>
      <c r="B220" s="498" t="s">
        <v>942</v>
      </c>
      <c r="C220" s="476"/>
      <c r="D220" s="522">
        <v>846</v>
      </c>
      <c r="E220" s="503"/>
    </row>
    <row r="221" spans="1:5">
      <c r="A221" s="497">
        <v>7</v>
      </c>
      <c r="B221" s="479" t="s">
        <v>936</v>
      </c>
      <c r="C221" s="476"/>
      <c r="D221" s="522">
        <v>1630</v>
      </c>
      <c r="E221" s="489"/>
    </row>
    <row r="222" spans="1:5">
      <c r="A222" s="509"/>
      <c r="B222" s="504"/>
      <c r="C222" s="505"/>
      <c r="D222" s="523"/>
      <c r="E222" s="504"/>
    </row>
  </sheetData>
  <mergeCells count="9">
    <mergeCell ref="A1:B1"/>
    <mergeCell ref="A2:E2"/>
    <mergeCell ref="A3:E3"/>
    <mergeCell ref="A4:E4"/>
    <mergeCell ref="A5:A7"/>
    <mergeCell ref="B5:B7"/>
    <mergeCell ref="C5:C7"/>
    <mergeCell ref="D5:D7"/>
    <mergeCell ref="E5:E7"/>
  </mergeCells>
  <printOptions horizontalCentered="1"/>
  <pageMargins left="0.27559055118110237" right="0.19685039370078741" top="0.27559055118110237" bottom="0.27559055118110237" header="0.31496062992125984" footer="0.31496062992125984"/>
  <pageSetup paperSize="9" scale="95"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76"/>
  <sheetViews>
    <sheetView workbookViewId="0">
      <pane xSplit="3" ySplit="7" topLeftCell="D8" activePane="bottomRight" state="frozen"/>
      <selection pane="topRight" activeCell="D1" sqref="D1"/>
      <selection pane="bottomLeft" activeCell="A8" sqref="A8"/>
      <selection pane="bottomRight" activeCell="G11" sqref="G11"/>
    </sheetView>
  </sheetViews>
  <sheetFormatPr defaultColWidth="9.140625" defaultRowHeight="15"/>
  <cols>
    <col min="1" max="1" width="4.42578125" style="267" customWidth="1"/>
    <col min="2" max="2" width="36.140625" style="267" customWidth="1"/>
    <col min="3" max="3" width="10.42578125" style="267" customWidth="1"/>
    <col min="4" max="4" width="10.28515625" style="267" customWidth="1"/>
    <col min="5" max="5" width="8.7109375" style="267" customWidth="1"/>
    <col min="6" max="7" width="10.140625" style="267" customWidth="1"/>
    <col min="8" max="9" width="9.7109375" style="267" customWidth="1"/>
    <col min="10" max="11" width="9.85546875" style="267" customWidth="1"/>
    <col min="12" max="12" width="10.5703125" style="267" customWidth="1"/>
    <col min="13" max="13" width="10" style="267" customWidth="1"/>
    <col min="14" max="14" width="10.42578125" style="267" customWidth="1"/>
    <col min="15" max="15" width="10.28515625" style="267" customWidth="1"/>
    <col min="16" max="16" width="11.28515625" style="267" customWidth="1"/>
    <col min="17" max="17" width="11.42578125" style="267" customWidth="1"/>
    <col min="18" max="19" width="10.7109375" style="267" bestFit="1" customWidth="1"/>
    <col min="20" max="20" width="9.140625" style="267" customWidth="1"/>
    <col min="21" max="25" width="9.85546875" style="267" bestFit="1" customWidth="1"/>
    <col min="26" max="28" width="9.5703125" style="267" customWidth="1"/>
    <col min="29" max="29" width="17" style="267" customWidth="1"/>
    <col min="30" max="16384" width="9.140625" style="267"/>
  </cols>
  <sheetData>
    <row r="1" spans="1:29" ht="16.5">
      <c r="A1" s="647" t="s">
        <v>237</v>
      </c>
      <c r="B1" s="647"/>
      <c r="C1" s="264"/>
      <c r="D1" s="265"/>
      <c r="E1" s="189"/>
      <c r="F1" s="127"/>
      <c r="G1" s="411"/>
      <c r="H1" s="192"/>
      <c r="I1" s="411"/>
      <c r="J1" s="192"/>
      <c r="K1" s="411"/>
      <c r="L1" s="192"/>
      <c r="M1" s="411"/>
      <c r="N1" s="192"/>
      <c r="O1" s="639" t="s">
        <v>588</v>
      </c>
      <c r="P1" s="639"/>
      <c r="Q1" s="639"/>
      <c r="R1" s="418"/>
      <c r="S1" s="418"/>
      <c r="T1" s="418"/>
      <c r="U1" s="418"/>
      <c r="V1" s="411"/>
      <c r="W1" s="266"/>
      <c r="X1" s="411"/>
      <c r="Y1" s="266"/>
      <c r="Z1" s="639" t="s">
        <v>589</v>
      </c>
      <c r="AA1" s="639"/>
      <c r="AB1" s="639"/>
    </row>
    <row r="2" spans="1:29" ht="19.5" customHeight="1">
      <c r="A2" s="643" t="s">
        <v>789</v>
      </c>
      <c r="B2" s="643"/>
      <c r="C2" s="643"/>
      <c r="D2" s="643"/>
      <c r="E2" s="643"/>
      <c r="F2" s="643"/>
      <c r="G2" s="643"/>
      <c r="H2" s="643"/>
      <c r="I2" s="643"/>
      <c r="J2" s="643"/>
      <c r="K2" s="643"/>
      <c r="L2" s="643"/>
      <c r="M2" s="643"/>
      <c r="N2" s="643"/>
      <c r="O2" s="643"/>
      <c r="P2" s="643"/>
      <c r="Q2" s="643"/>
      <c r="R2" s="640" t="s">
        <v>789</v>
      </c>
      <c r="S2" s="640"/>
      <c r="T2" s="640"/>
      <c r="U2" s="640"/>
      <c r="V2" s="640"/>
      <c r="W2" s="640"/>
      <c r="X2" s="640"/>
      <c r="Y2" s="640"/>
      <c r="Z2" s="305"/>
      <c r="AA2" s="305"/>
      <c r="AB2" s="305"/>
    </row>
    <row r="3" spans="1:29" s="277" customFormat="1">
      <c r="A3" s="268"/>
      <c r="B3" s="269"/>
      <c r="C3" s="270">
        <f>B3/C41</f>
        <v>0</v>
      </c>
      <c r="D3" s="271"/>
      <c r="E3" s="272"/>
      <c r="F3" s="270"/>
      <c r="G3" s="270"/>
      <c r="H3" s="273"/>
      <c r="I3" s="274"/>
      <c r="J3" s="268"/>
      <c r="K3" s="269"/>
      <c r="L3" s="275"/>
      <c r="M3" s="410"/>
      <c r="N3" s="268"/>
      <c r="O3" s="276"/>
      <c r="P3" s="646" t="s">
        <v>590</v>
      </c>
      <c r="Q3" s="646"/>
      <c r="Y3" s="273"/>
      <c r="Z3" s="410"/>
      <c r="AA3" s="646" t="s">
        <v>590</v>
      </c>
      <c r="AB3" s="646"/>
    </row>
    <row r="4" spans="1:29" s="279" customFormat="1" ht="18.75" customHeight="1">
      <c r="A4" s="648" t="s">
        <v>4</v>
      </c>
      <c r="B4" s="648" t="s">
        <v>238</v>
      </c>
      <c r="C4" s="641" t="s">
        <v>79</v>
      </c>
      <c r="D4" s="642"/>
      <c r="E4" s="642"/>
      <c r="F4" s="637" t="s">
        <v>591</v>
      </c>
      <c r="G4" s="638"/>
      <c r="H4" s="637" t="s">
        <v>592</v>
      </c>
      <c r="I4" s="638"/>
      <c r="J4" s="637" t="s">
        <v>593</v>
      </c>
      <c r="K4" s="638"/>
      <c r="L4" s="637" t="s">
        <v>577</v>
      </c>
      <c r="M4" s="638"/>
      <c r="N4" s="637" t="s">
        <v>594</v>
      </c>
      <c r="O4" s="638"/>
      <c r="P4" s="637" t="s">
        <v>595</v>
      </c>
      <c r="Q4" s="638"/>
      <c r="R4" s="637" t="s">
        <v>596</v>
      </c>
      <c r="S4" s="638"/>
      <c r="T4" s="408"/>
      <c r="U4" s="637" t="s">
        <v>597</v>
      </c>
      <c r="V4" s="638"/>
      <c r="W4" s="637" t="s">
        <v>598</v>
      </c>
      <c r="X4" s="638"/>
      <c r="Y4" s="644" t="s">
        <v>599</v>
      </c>
      <c r="Z4" s="645"/>
      <c r="AA4" s="644" t="s">
        <v>600</v>
      </c>
      <c r="AB4" s="645"/>
      <c r="AC4" s="278"/>
    </row>
    <row r="5" spans="1:29" s="281" customFormat="1" ht="24.75" customHeight="1">
      <c r="A5" s="648"/>
      <c r="B5" s="648"/>
      <c r="C5" s="634" t="s">
        <v>81</v>
      </c>
      <c r="D5" s="635" t="s">
        <v>745</v>
      </c>
      <c r="E5" s="441" t="s">
        <v>601</v>
      </c>
      <c r="F5" s="634" t="s">
        <v>81</v>
      </c>
      <c r="G5" s="635" t="s">
        <v>745</v>
      </c>
      <c r="H5" s="634" t="s">
        <v>81</v>
      </c>
      <c r="I5" s="634" t="s">
        <v>745</v>
      </c>
      <c r="J5" s="634" t="s">
        <v>81</v>
      </c>
      <c r="K5" s="634" t="s">
        <v>745</v>
      </c>
      <c r="L5" s="634" t="s">
        <v>81</v>
      </c>
      <c r="M5" s="634" t="s">
        <v>745</v>
      </c>
      <c r="N5" s="634" t="s">
        <v>81</v>
      </c>
      <c r="O5" s="634" t="s">
        <v>745</v>
      </c>
      <c r="P5" s="634" t="s">
        <v>81</v>
      </c>
      <c r="Q5" s="634" t="s">
        <v>745</v>
      </c>
      <c r="R5" s="634" t="s">
        <v>81</v>
      </c>
      <c r="S5" s="634" t="s">
        <v>745</v>
      </c>
      <c r="T5" s="441" t="s">
        <v>601</v>
      </c>
      <c r="U5" s="634" t="s">
        <v>81</v>
      </c>
      <c r="V5" s="634" t="s">
        <v>745</v>
      </c>
      <c r="W5" s="634" t="s">
        <v>81</v>
      </c>
      <c r="X5" s="634" t="s">
        <v>745</v>
      </c>
      <c r="Y5" s="634" t="s">
        <v>81</v>
      </c>
      <c r="Z5" s="634" t="s">
        <v>745</v>
      </c>
      <c r="AA5" s="634" t="s">
        <v>81</v>
      </c>
      <c r="AB5" s="634" t="s">
        <v>745</v>
      </c>
      <c r="AC5" s="280"/>
    </row>
    <row r="6" spans="1:29" s="281" customFormat="1" ht="34.5" customHeight="1">
      <c r="A6" s="648"/>
      <c r="B6" s="648"/>
      <c r="C6" s="634"/>
      <c r="D6" s="636"/>
      <c r="E6" s="409" t="s">
        <v>602</v>
      </c>
      <c r="F6" s="634"/>
      <c r="G6" s="636"/>
      <c r="H6" s="634"/>
      <c r="I6" s="634"/>
      <c r="J6" s="634"/>
      <c r="K6" s="634"/>
      <c r="L6" s="634"/>
      <c r="M6" s="634"/>
      <c r="N6" s="634"/>
      <c r="O6" s="634"/>
      <c r="P6" s="634"/>
      <c r="Q6" s="634"/>
      <c r="R6" s="634"/>
      <c r="S6" s="634"/>
      <c r="T6" s="409" t="s">
        <v>602</v>
      </c>
      <c r="U6" s="634"/>
      <c r="V6" s="634"/>
      <c r="W6" s="634"/>
      <c r="X6" s="634"/>
      <c r="Y6" s="634"/>
      <c r="Z6" s="634"/>
      <c r="AA6" s="634"/>
      <c r="AB6" s="634"/>
    </row>
    <row r="7" spans="1:29" s="315" customFormat="1" ht="32.25" customHeight="1">
      <c r="A7" s="302"/>
      <c r="B7" s="282" t="s">
        <v>603</v>
      </c>
      <c r="C7" s="434">
        <f>C8</f>
        <v>69024.78</v>
      </c>
      <c r="D7" s="434">
        <f t="shared" ref="D7:Z7" si="0">D8</f>
        <v>68973.78</v>
      </c>
      <c r="E7" s="434">
        <f t="shared" si="0"/>
        <v>51</v>
      </c>
      <c r="F7" s="434">
        <f t="shared" si="0"/>
        <v>8412.1990000000005</v>
      </c>
      <c r="G7" s="434">
        <f t="shared" si="0"/>
        <v>8412.1990000000005</v>
      </c>
      <c r="H7" s="434">
        <f t="shared" si="0"/>
        <v>5516.5659999999998</v>
      </c>
      <c r="I7" s="434">
        <f t="shared" si="0"/>
        <v>5516.5659999999998</v>
      </c>
      <c r="J7" s="434">
        <f t="shared" si="0"/>
        <v>4299.2969999999996</v>
      </c>
      <c r="K7" s="434">
        <f t="shared" si="0"/>
        <v>4299.2969999999996</v>
      </c>
      <c r="L7" s="434">
        <f t="shared" si="0"/>
        <v>4412.9129999999996</v>
      </c>
      <c r="M7" s="434">
        <f t="shared" si="0"/>
        <v>4412.9129999999996</v>
      </c>
      <c r="N7" s="434">
        <f t="shared" si="0"/>
        <v>4320.1900000000005</v>
      </c>
      <c r="O7" s="434">
        <f t="shared" si="0"/>
        <v>4320.1900000000005</v>
      </c>
      <c r="P7" s="434">
        <f t="shared" si="0"/>
        <v>4783.3999999999996</v>
      </c>
      <c r="Q7" s="434">
        <f t="shared" si="0"/>
        <v>4783.3999999999996</v>
      </c>
      <c r="R7" s="434">
        <f t="shared" si="0"/>
        <v>6809.960500000001</v>
      </c>
      <c r="S7" s="434">
        <f t="shared" si="0"/>
        <v>6758.960500000001</v>
      </c>
      <c r="T7" s="434">
        <f t="shared" si="0"/>
        <v>51</v>
      </c>
      <c r="U7" s="434">
        <f t="shared" si="0"/>
        <v>4636.9615000000003</v>
      </c>
      <c r="V7" s="434">
        <f t="shared" si="0"/>
        <v>4636.9615000000003</v>
      </c>
      <c r="W7" s="434">
        <f t="shared" si="0"/>
        <v>6954.616</v>
      </c>
      <c r="X7" s="434">
        <f t="shared" si="0"/>
        <v>6954.616</v>
      </c>
      <c r="Y7" s="434">
        <f t="shared" si="0"/>
        <v>6596.4510000000009</v>
      </c>
      <c r="Z7" s="434">
        <f t="shared" si="0"/>
        <v>6596.4510000000009</v>
      </c>
      <c r="AA7" s="434">
        <f t="shared" ref="AA7:AB7" si="1">AA8</f>
        <v>12282.225999999999</v>
      </c>
      <c r="AB7" s="434">
        <f t="shared" si="1"/>
        <v>12282.225999999999</v>
      </c>
    </row>
    <row r="8" spans="1:29" s="283" customFormat="1" ht="18" customHeight="1">
      <c r="A8" s="302" t="s">
        <v>11</v>
      </c>
      <c r="B8" s="282" t="s">
        <v>568</v>
      </c>
      <c r="C8" s="435">
        <f t="shared" ref="C8:S8" si="2">C9+C11+C75</f>
        <v>69024.78</v>
      </c>
      <c r="D8" s="435">
        <f t="shared" si="2"/>
        <v>68973.78</v>
      </c>
      <c r="E8" s="435">
        <f t="shared" si="2"/>
        <v>51</v>
      </c>
      <c r="F8" s="435">
        <f t="shared" si="2"/>
        <v>8412.1990000000005</v>
      </c>
      <c r="G8" s="435">
        <f t="shared" si="2"/>
        <v>8412.1990000000005</v>
      </c>
      <c r="H8" s="435">
        <f t="shared" si="2"/>
        <v>5516.5659999999998</v>
      </c>
      <c r="I8" s="435">
        <f t="shared" si="2"/>
        <v>5516.5659999999998</v>
      </c>
      <c r="J8" s="435">
        <f t="shared" si="2"/>
        <v>4299.2969999999996</v>
      </c>
      <c r="K8" s="435">
        <f t="shared" si="2"/>
        <v>4299.2969999999996</v>
      </c>
      <c r="L8" s="435">
        <f t="shared" si="2"/>
        <v>4412.9129999999996</v>
      </c>
      <c r="M8" s="435">
        <f t="shared" si="2"/>
        <v>4412.9129999999996</v>
      </c>
      <c r="N8" s="435">
        <f t="shared" si="2"/>
        <v>4320.1900000000005</v>
      </c>
      <c r="O8" s="435">
        <f t="shared" si="2"/>
        <v>4320.1900000000005</v>
      </c>
      <c r="P8" s="435">
        <f t="shared" si="2"/>
        <v>4783.3999999999996</v>
      </c>
      <c r="Q8" s="435">
        <f t="shared" si="2"/>
        <v>4783.3999999999996</v>
      </c>
      <c r="R8" s="435">
        <f t="shared" si="2"/>
        <v>6809.960500000001</v>
      </c>
      <c r="S8" s="435">
        <f t="shared" si="2"/>
        <v>6758.960500000001</v>
      </c>
      <c r="T8" s="435">
        <f t="shared" ref="T8:AB8" si="3">T9+T11+T75</f>
        <v>51</v>
      </c>
      <c r="U8" s="435">
        <f t="shared" si="3"/>
        <v>4636.9615000000003</v>
      </c>
      <c r="V8" s="435">
        <f t="shared" si="3"/>
        <v>4636.9615000000003</v>
      </c>
      <c r="W8" s="435">
        <f t="shared" si="3"/>
        <v>6954.616</v>
      </c>
      <c r="X8" s="435">
        <f t="shared" si="3"/>
        <v>6954.616</v>
      </c>
      <c r="Y8" s="435">
        <f t="shared" si="3"/>
        <v>6596.4510000000009</v>
      </c>
      <c r="Z8" s="435">
        <f t="shared" si="3"/>
        <v>6596.4510000000009</v>
      </c>
      <c r="AA8" s="435">
        <f t="shared" si="3"/>
        <v>12282.225999999999</v>
      </c>
      <c r="AB8" s="435">
        <f t="shared" si="3"/>
        <v>12282.225999999999</v>
      </c>
    </row>
    <row r="9" spans="1:29" s="319" customFormat="1" ht="22.5" customHeight="1">
      <c r="A9" s="303" t="s">
        <v>14</v>
      </c>
      <c r="B9" s="304" t="s">
        <v>197</v>
      </c>
      <c r="C9" s="434">
        <f>C10</f>
        <v>8640</v>
      </c>
      <c r="D9" s="434">
        <f t="shared" ref="D9:Y9" si="4">D10</f>
        <v>8640</v>
      </c>
      <c r="E9" s="434">
        <f t="shared" si="4"/>
        <v>0</v>
      </c>
      <c r="F9" s="434">
        <f t="shared" si="4"/>
        <v>3500</v>
      </c>
      <c r="G9" s="434">
        <f t="shared" si="4"/>
        <v>3500</v>
      </c>
      <c r="H9" s="434">
        <f t="shared" si="4"/>
        <v>20</v>
      </c>
      <c r="I9" s="434">
        <f t="shared" si="4"/>
        <v>20</v>
      </c>
      <c r="J9" s="434">
        <f t="shared" si="4"/>
        <v>10</v>
      </c>
      <c r="K9" s="434">
        <f t="shared" si="4"/>
        <v>10</v>
      </c>
      <c r="L9" s="434">
        <f t="shared" si="4"/>
        <v>10</v>
      </c>
      <c r="M9" s="434">
        <f t="shared" si="4"/>
        <v>10</v>
      </c>
      <c r="N9" s="434">
        <f t="shared" si="4"/>
        <v>10</v>
      </c>
      <c r="O9" s="434">
        <f t="shared" si="4"/>
        <v>10</v>
      </c>
      <c r="P9" s="434">
        <f t="shared" si="4"/>
        <v>65</v>
      </c>
      <c r="Q9" s="434">
        <f t="shared" si="4"/>
        <v>65</v>
      </c>
      <c r="R9" s="434">
        <f t="shared" si="4"/>
        <v>10</v>
      </c>
      <c r="S9" s="434">
        <f t="shared" si="4"/>
        <v>10</v>
      </c>
      <c r="T9" s="434">
        <f t="shared" si="4"/>
        <v>0</v>
      </c>
      <c r="U9" s="434">
        <f t="shared" si="4"/>
        <v>0</v>
      </c>
      <c r="V9" s="434">
        <f t="shared" si="4"/>
        <v>0</v>
      </c>
      <c r="W9" s="434">
        <f t="shared" si="4"/>
        <v>10</v>
      </c>
      <c r="X9" s="434">
        <f t="shared" si="4"/>
        <v>10</v>
      </c>
      <c r="Y9" s="434">
        <f t="shared" si="4"/>
        <v>5</v>
      </c>
      <c r="Z9" s="434">
        <f>Z10</f>
        <v>5</v>
      </c>
      <c r="AA9" s="434">
        <f t="shared" ref="AA9:AB9" si="5">AA10</f>
        <v>5000</v>
      </c>
      <c r="AB9" s="434">
        <f t="shared" si="5"/>
        <v>5000</v>
      </c>
    </row>
    <row r="10" spans="1:29" ht="18" customHeight="1">
      <c r="A10" s="287" t="s">
        <v>257</v>
      </c>
      <c r="B10" s="288" t="s">
        <v>604</v>
      </c>
      <c r="C10" s="436">
        <f>SUM(D10:E10)</f>
        <v>8640</v>
      </c>
      <c r="D10" s="436">
        <f>G10+I10+K10+M10+O10+Q10+S10+V10+X10+Z10+AB10</f>
        <v>8640</v>
      </c>
      <c r="E10" s="436">
        <f>+T10</f>
        <v>0</v>
      </c>
      <c r="F10" s="436">
        <f>SUM(G10:G10)</f>
        <v>3500</v>
      </c>
      <c r="G10" s="436">
        <v>3500</v>
      </c>
      <c r="H10" s="436">
        <f>SUM(I10:I10)</f>
        <v>20</v>
      </c>
      <c r="I10" s="436">
        <f>200*0.1</f>
        <v>20</v>
      </c>
      <c r="J10" s="436">
        <f>SUM(K10:K10)</f>
        <v>10</v>
      </c>
      <c r="K10" s="436">
        <v>10</v>
      </c>
      <c r="L10" s="436">
        <f>SUM(M10:M10)</f>
        <v>10</v>
      </c>
      <c r="M10" s="436">
        <v>10</v>
      </c>
      <c r="N10" s="436">
        <f>SUM(O10:O10)</f>
        <v>10</v>
      </c>
      <c r="O10" s="436">
        <v>10</v>
      </c>
      <c r="P10" s="436">
        <f>SUM(Q10:Q10)</f>
        <v>65</v>
      </c>
      <c r="Q10" s="436">
        <v>65</v>
      </c>
      <c r="R10" s="436">
        <f>SUM(S10:T10)</f>
        <v>10</v>
      </c>
      <c r="S10" s="436">
        <v>10</v>
      </c>
      <c r="T10" s="436"/>
      <c r="U10" s="436">
        <f>SUM(V10:V10)</f>
        <v>0</v>
      </c>
      <c r="V10" s="436">
        <f>0</f>
        <v>0</v>
      </c>
      <c r="W10" s="436">
        <f>SUM(X10:X10)</f>
        <v>10</v>
      </c>
      <c r="X10" s="436">
        <v>10</v>
      </c>
      <c r="Y10" s="436">
        <f>SUM(Z10:Z10)</f>
        <v>5</v>
      </c>
      <c r="Z10" s="436">
        <v>5</v>
      </c>
      <c r="AA10" s="436">
        <f>SUM(AB10:AB10)</f>
        <v>5000</v>
      </c>
      <c r="AB10" s="436">
        <f>6000-1000</f>
        <v>5000</v>
      </c>
    </row>
    <row r="11" spans="1:29" s="286" customFormat="1" ht="18" customHeight="1">
      <c r="A11" s="289" t="s">
        <v>70</v>
      </c>
      <c r="B11" s="285" t="s">
        <v>134</v>
      </c>
      <c r="C11" s="435">
        <f>C12</f>
        <v>59170.78</v>
      </c>
      <c r="D11" s="435">
        <f t="shared" ref="D11:Z11" si="6">D12</f>
        <v>59119.78</v>
      </c>
      <c r="E11" s="435">
        <f t="shared" si="6"/>
        <v>51</v>
      </c>
      <c r="F11" s="435">
        <f t="shared" si="6"/>
        <v>4796.1989999999996</v>
      </c>
      <c r="G11" s="435">
        <f t="shared" si="6"/>
        <v>4796.1989999999996</v>
      </c>
      <c r="H11" s="435">
        <f t="shared" si="6"/>
        <v>5388.5659999999998</v>
      </c>
      <c r="I11" s="435">
        <f t="shared" si="6"/>
        <v>5388.5659999999998</v>
      </c>
      <c r="J11" s="435">
        <f t="shared" si="6"/>
        <v>4205.2969999999996</v>
      </c>
      <c r="K11" s="435">
        <f t="shared" si="6"/>
        <v>4205.2969999999996</v>
      </c>
      <c r="L11" s="435">
        <f t="shared" si="6"/>
        <v>4316.9129999999996</v>
      </c>
      <c r="M11" s="435">
        <f t="shared" si="6"/>
        <v>4316.9129999999996</v>
      </c>
      <c r="N11" s="435">
        <f t="shared" si="6"/>
        <v>4226.1900000000005</v>
      </c>
      <c r="O11" s="435">
        <f t="shared" si="6"/>
        <v>4226.1900000000005</v>
      </c>
      <c r="P11" s="435">
        <f t="shared" si="6"/>
        <v>4625.3999999999996</v>
      </c>
      <c r="Q11" s="435">
        <f t="shared" si="6"/>
        <v>4625.3999999999996</v>
      </c>
      <c r="R11" s="435">
        <f t="shared" si="6"/>
        <v>6667.960500000001</v>
      </c>
      <c r="S11" s="435">
        <f t="shared" si="6"/>
        <v>6616.960500000001</v>
      </c>
      <c r="T11" s="435">
        <f t="shared" si="6"/>
        <v>51</v>
      </c>
      <c r="U11" s="435">
        <f t="shared" si="6"/>
        <v>4545.9615000000003</v>
      </c>
      <c r="V11" s="435">
        <f t="shared" si="6"/>
        <v>4545.9615000000003</v>
      </c>
      <c r="W11" s="435">
        <f t="shared" si="6"/>
        <v>6808.616</v>
      </c>
      <c r="X11" s="435">
        <f t="shared" si="6"/>
        <v>6808.616</v>
      </c>
      <c r="Y11" s="435">
        <f t="shared" si="6"/>
        <v>6462.4510000000009</v>
      </c>
      <c r="Z11" s="435">
        <f t="shared" si="6"/>
        <v>6462.4510000000009</v>
      </c>
      <c r="AA11" s="435">
        <f t="shared" ref="AA11:AB11" si="7">AA12</f>
        <v>7127.2259999999997</v>
      </c>
      <c r="AB11" s="435">
        <f t="shared" si="7"/>
        <v>7127.2259999999997</v>
      </c>
      <c r="AC11" s="290"/>
    </row>
    <row r="12" spans="1:29" s="286" customFormat="1" ht="17.25" customHeight="1">
      <c r="A12" s="284" t="s">
        <v>610</v>
      </c>
      <c r="B12" s="285" t="s">
        <v>605</v>
      </c>
      <c r="C12" s="435">
        <f t="shared" ref="C12:S12" si="8">C13+C15+C29+C32+C37+C41+C60+C72</f>
        <v>59170.78</v>
      </c>
      <c r="D12" s="435">
        <f t="shared" si="8"/>
        <v>59119.78</v>
      </c>
      <c r="E12" s="435">
        <f t="shared" si="8"/>
        <v>51</v>
      </c>
      <c r="F12" s="435">
        <f t="shared" si="8"/>
        <v>4796.1989999999996</v>
      </c>
      <c r="G12" s="435">
        <f t="shared" si="8"/>
        <v>4796.1989999999996</v>
      </c>
      <c r="H12" s="435">
        <f t="shared" si="8"/>
        <v>5388.5659999999998</v>
      </c>
      <c r="I12" s="435">
        <f t="shared" si="8"/>
        <v>5388.5659999999998</v>
      </c>
      <c r="J12" s="435">
        <f t="shared" si="8"/>
        <v>4205.2969999999996</v>
      </c>
      <c r="K12" s="435">
        <f t="shared" si="8"/>
        <v>4205.2969999999996</v>
      </c>
      <c r="L12" s="435">
        <f t="shared" si="8"/>
        <v>4316.9129999999996</v>
      </c>
      <c r="M12" s="435">
        <f t="shared" si="8"/>
        <v>4316.9129999999996</v>
      </c>
      <c r="N12" s="435">
        <f t="shared" si="8"/>
        <v>4226.1900000000005</v>
      </c>
      <c r="O12" s="435">
        <f t="shared" si="8"/>
        <v>4226.1900000000005</v>
      </c>
      <c r="P12" s="435">
        <f t="shared" si="8"/>
        <v>4625.3999999999996</v>
      </c>
      <c r="Q12" s="435">
        <f t="shared" si="8"/>
        <v>4625.3999999999996</v>
      </c>
      <c r="R12" s="435">
        <f t="shared" si="8"/>
        <v>6667.960500000001</v>
      </c>
      <c r="S12" s="435">
        <f t="shared" si="8"/>
        <v>6616.960500000001</v>
      </c>
      <c r="T12" s="435">
        <f t="shared" ref="T12:AB12" si="9">T13+T15+T29+T32+T37+T41+T60+T72</f>
        <v>51</v>
      </c>
      <c r="U12" s="435">
        <f t="shared" si="9"/>
        <v>4545.9615000000003</v>
      </c>
      <c r="V12" s="435">
        <f t="shared" si="9"/>
        <v>4545.9615000000003</v>
      </c>
      <c r="W12" s="435">
        <f t="shared" si="9"/>
        <v>6808.616</v>
      </c>
      <c r="X12" s="435">
        <f t="shared" si="9"/>
        <v>6808.616</v>
      </c>
      <c r="Y12" s="435">
        <f t="shared" si="9"/>
        <v>6462.4510000000009</v>
      </c>
      <c r="Z12" s="435">
        <f t="shared" si="9"/>
        <v>6462.4510000000009</v>
      </c>
      <c r="AA12" s="435">
        <f t="shared" si="9"/>
        <v>7127.2259999999997</v>
      </c>
      <c r="AB12" s="435">
        <f t="shared" si="9"/>
        <v>7127.2259999999997</v>
      </c>
      <c r="AC12" s="336"/>
    </row>
    <row r="13" spans="1:29" s="286" customFormat="1" ht="17.25" customHeight="1">
      <c r="A13" s="284">
        <v>1</v>
      </c>
      <c r="B13" s="285" t="s">
        <v>611</v>
      </c>
      <c r="C13" s="435">
        <f t="shared" ref="C13:F13" si="10">SUM(C14)</f>
        <v>480</v>
      </c>
      <c r="D13" s="435">
        <f t="shared" si="10"/>
        <v>480</v>
      </c>
      <c r="E13" s="435">
        <f t="shared" si="10"/>
        <v>0</v>
      </c>
      <c r="F13" s="435">
        <f t="shared" si="10"/>
        <v>50</v>
      </c>
      <c r="G13" s="435">
        <f t="shared" ref="G13:AB13" si="11">SUM(G14)</f>
        <v>50</v>
      </c>
      <c r="H13" s="435">
        <f>SUM(H14)</f>
        <v>50</v>
      </c>
      <c r="I13" s="435">
        <f t="shared" si="11"/>
        <v>50</v>
      </c>
      <c r="J13" s="435">
        <f>SUM(J14)</f>
        <v>30</v>
      </c>
      <c r="K13" s="435">
        <f t="shared" si="11"/>
        <v>30</v>
      </c>
      <c r="L13" s="435">
        <f>SUM(L14)</f>
        <v>30</v>
      </c>
      <c r="M13" s="435">
        <f t="shared" si="11"/>
        <v>30</v>
      </c>
      <c r="N13" s="435">
        <f>SUM(N14)</f>
        <v>30</v>
      </c>
      <c r="O13" s="435">
        <f t="shared" si="11"/>
        <v>30</v>
      </c>
      <c r="P13" s="435">
        <f>SUM(P14)</f>
        <v>30</v>
      </c>
      <c r="Q13" s="435">
        <f t="shared" si="11"/>
        <v>30</v>
      </c>
      <c r="R13" s="435">
        <f>SUM(R14)</f>
        <v>70</v>
      </c>
      <c r="S13" s="435">
        <f t="shared" si="11"/>
        <v>70</v>
      </c>
      <c r="T13" s="435">
        <f t="shared" si="11"/>
        <v>0</v>
      </c>
      <c r="U13" s="435">
        <f>SUM(U14)</f>
        <v>30</v>
      </c>
      <c r="V13" s="435">
        <f t="shared" si="11"/>
        <v>30</v>
      </c>
      <c r="W13" s="435">
        <f>SUM(W14)</f>
        <v>50</v>
      </c>
      <c r="X13" s="435">
        <f t="shared" si="11"/>
        <v>50</v>
      </c>
      <c r="Y13" s="435">
        <f>SUM(Y14)</f>
        <v>50</v>
      </c>
      <c r="Z13" s="435">
        <f t="shared" si="11"/>
        <v>50</v>
      </c>
      <c r="AA13" s="435">
        <f>SUM(AA14)</f>
        <v>60</v>
      </c>
      <c r="AB13" s="435">
        <f t="shared" si="11"/>
        <v>60</v>
      </c>
      <c r="AC13" s="336"/>
    </row>
    <row r="14" spans="1:29" s="318" customFormat="1" ht="60" customHeight="1">
      <c r="A14" s="316" t="s">
        <v>257</v>
      </c>
      <c r="B14" s="317" t="s">
        <v>612</v>
      </c>
      <c r="C14" s="437">
        <f>SUM(D14:E14)</f>
        <v>480</v>
      </c>
      <c r="D14" s="437">
        <f>G14+I14+K14+M14+O14+Q14+S14+V14+X14+Z14+AB14</f>
        <v>480</v>
      </c>
      <c r="E14" s="436">
        <f>+T14</f>
        <v>0</v>
      </c>
      <c r="F14" s="437">
        <f>SUM(G14:G14)</f>
        <v>50</v>
      </c>
      <c r="G14" s="437">
        <v>50</v>
      </c>
      <c r="H14" s="437">
        <f>SUM(I14:I14)</f>
        <v>50</v>
      </c>
      <c r="I14" s="437">
        <v>50</v>
      </c>
      <c r="J14" s="437">
        <f>SUM(K14:K14)</f>
        <v>30</v>
      </c>
      <c r="K14" s="437">
        <v>30</v>
      </c>
      <c r="L14" s="437">
        <f>SUM(M14:M14)</f>
        <v>30</v>
      </c>
      <c r="M14" s="437">
        <v>30</v>
      </c>
      <c r="N14" s="437">
        <f>SUM(O14:O14)</f>
        <v>30</v>
      </c>
      <c r="O14" s="437">
        <v>30</v>
      </c>
      <c r="P14" s="437">
        <f>SUM(Q14:Q14)</f>
        <v>30</v>
      </c>
      <c r="Q14" s="437">
        <v>30</v>
      </c>
      <c r="R14" s="437">
        <f>SUM(S14:T14)</f>
        <v>70</v>
      </c>
      <c r="S14" s="437">
        <v>70</v>
      </c>
      <c r="T14" s="437"/>
      <c r="U14" s="437">
        <f>SUM(V14:V14)</f>
        <v>30</v>
      </c>
      <c r="V14" s="437">
        <v>30</v>
      </c>
      <c r="W14" s="437">
        <f>SUM(X14:X14)</f>
        <v>50</v>
      </c>
      <c r="X14" s="437">
        <v>50</v>
      </c>
      <c r="Y14" s="437">
        <f>SUM(Z14:Z14)</f>
        <v>50</v>
      </c>
      <c r="Z14" s="437">
        <v>50</v>
      </c>
      <c r="AA14" s="437">
        <f>SUM(AB14:AB14)</f>
        <v>60</v>
      </c>
      <c r="AB14" s="437">
        <v>60</v>
      </c>
    </row>
    <row r="15" spans="1:29" s="319" customFormat="1" ht="19.5" customHeight="1">
      <c r="A15" s="303">
        <v>2</v>
      </c>
      <c r="B15" s="304" t="s">
        <v>613</v>
      </c>
      <c r="C15" s="434">
        <f>C16+C19+C22+C23+C24+C25+C26+C27+C28</f>
        <v>4884.8</v>
      </c>
      <c r="D15" s="434">
        <f t="shared" ref="D15:AB15" si="12">D16+D19+D22+D23+D24+D25+D26+D27+D28</f>
        <v>4884.8</v>
      </c>
      <c r="E15" s="434">
        <f t="shared" si="12"/>
        <v>0</v>
      </c>
      <c r="F15" s="434">
        <f t="shared" si="12"/>
        <v>181.96</v>
      </c>
      <c r="G15" s="434">
        <f t="shared" si="12"/>
        <v>181.96</v>
      </c>
      <c r="H15" s="434">
        <f t="shared" si="12"/>
        <v>644.81999999999994</v>
      </c>
      <c r="I15" s="434">
        <f t="shared" si="12"/>
        <v>644.81999999999994</v>
      </c>
      <c r="J15" s="434">
        <f t="shared" si="12"/>
        <v>396.23099999999999</v>
      </c>
      <c r="K15" s="434">
        <f t="shared" si="12"/>
        <v>396.23099999999999</v>
      </c>
      <c r="L15" s="434">
        <f t="shared" si="12"/>
        <v>468.05400000000003</v>
      </c>
      <c r="M15" s="434">
        <f t="shared" si="12"/>
        <v>468.05400000000003</v>
      </c>
      <c r="N15" s="434">
        <f t="shared" si="12"/>
        <v>443.39</v>
      </c>
      <c r="O15" s="434">
        <f t="shared" si="12"/>
        <v>443.39</v>
      </c>
      <c r="P15" s="434">
        <f t="shared" si="12"/>
        <v>317.64499999999998</v>
      </c>
      <c r="Q15" s="434">
        <f t="shared" si="12"/>
        <v>317.64499999999998</v>
      </c>
      <c r="R15" s="434">
        <f t="shared" si="12"/>
        <v>615.8175</v>
      </c>
      <c r="S15" s="434">
        <f t="shared" si="12"/>
        <v>615.8175</v>
      </c>
      <c r="T15" s="434">
        <f t="shared" si="12"/>
        <v>0</v>
      </c>
      <c r="U15" s="434">
        <f t="shared" si="12"/>
        <v>425.80449999999996</v>
      </c>
      <c r="V15" s="434">
        <f t="shared" si="12"/>
        <v>425.80449999999996</v>
      </c>
      <c r="W15" s="434">
        <f t="shared" si="12"/>
        <v>615.32999999999993</v>
      </c>
      <c r="X15" s="434">
        <f t="shared" si="12"/>
        <v>615.32999999999993</v>
      </c>
      <c r="Y15" s="434">
        <f t="shared" si="12"/>
        <v>468.67</v>
      </c>
      <c r="Z15" s="434">
        <f t="shared" si="12"/>
        <v>468.67</v>
      </c>
      <c r="AA15" s="434">
        <f t="shared" si="12"/>
        <v>307.07799999999997</v>
      </c>
      <c r="AB15" s="434">
        <f t="shared" si="12"/>
        <v>307.07799999999997</v>
      </c>
    </row>
    <row r="16" spans="1:29" s="319" customFormat="1" ht="19.5" customHeight="1">
      <c r="A16" s="303" t="s">
        <v>204</v>
      </c>
      <c r="B16" s="304" t="s">
        <v>614</v>
      </c>
      <c r="C16" s="434">
        <f>SUM(D16:E16)</f>
        <v>133.94999999999999</v>
      </c>
      <c r="D16" s="434">
        <f>G16+I16+K16+M16+O16+Q16+S16+V16+X16+Z16+AB16</f>
        <v>133.94999999999999</v>
      </c>
      <c r="E16" s="436">
        <f>+T16</f>
        <v>0</v>
      </c>
      <c r="F16" s="434">
        <f>SUM(G16:G16)</f>
        <v>0</v>
      </c>
      <c r="G16" s="434">
        <f>G17*G18</f>
        <v>0</v>
      </c>
      <c r="H16" s="434">
        <f>SUM(I16:I16)</f>
        <v>28.88</v>
      </c>
      <c r="I16" s="434">
        <f>(I17*I18)</f>
        <v>28.88</v>
      </c>
      <c r="J16" s="434">
        <f>SUM(K16:K16)</f>
        <v>28.480999999999998</v>
      </c>
      <c r="K16" s="434">
        <f>(K17*K18)</f>
        <v>28.480999999999998</v>
      </c>
      <c r="L16" s="434">
        <f>SUM(M16:M16)</f>
        <v>10.563999999999998</v>
      </c>
      <c r="M16" s="434">
        <f>M17*M18</f>
        <v>10.563999999999998</v>
      </c>
      <c r="N16" s="434">
        <f>SUM(O16:O16)</f>
        <v>0</v>
      </c>
      <c r="O16" s="434">
        <f>O17*O18</f>
        <v>0</v>
      </c>
      <c r="P16" s="434">
        <f>SUM(Q16:Q16)</f>
        <v>16.054999999999996</v>
      </c>
      <c r="Q16" s="434">
        <f>Q17*Q18</f>
        <v>16.054999999999996</v>
      </c>
      <c r="R16" s="434">
        <f>SUM(S16:T16)</f>
        <v>15.817499999999997</v>
      </c>
      <c r="S16" s="434">
        <f>S17*S18</f>
        <v>15.817499999999997</v>
      </c>
      <c r="T16" s="434"/>
      <c r="U16" s="434">
        <f>SUM(V16:V16)</f>
        <v>24.234500000000001</v>
      </c>
      <c r="V16" s="434">
        <f>V17*V18</f>
        <v>24.234500000000001</v>
      </c>
      <c r="W16" s="434">
        <f>SUM(X16:X16)</f>
        <v>0</v>
      </c>
      <c r="X16" s="434"/>
      <c r="Y16" s="434">
        <f>SUM(Z16:Z16)</f>
        <v>2.6599999999999997</v>
      </c>
      <c r="Z16" s="434">
        <f>Z17*Z18</f>
        <v>2.6599999999999997</v>
      </c>
      <c r="AA16" s="434">
        <f>SUM(AB16:AB16)</f>
        <v>7.2579999999999991</v>
      </c>
      <c r="AB16" s="434">
        <f>AB17*AB18</f>
        <v>7.2579999999999991</v>
      </c>
    </row>
    <row r="17" spans="1:28" s="318" customFormat="1" ht="19.5" customHeight="1">
      <c r="A17" s="316" t="s">
        <v>257</v>
      </c>
      <c r="B17" s="320" t="s">
        <v>615</v>
      </c>
      <c r="C17" s="437">
        <f>SUM(D17:E17)</f>
        <v>141</v>
      </c>
      <c r="D17" s="437">
        <f>G17+I17+K17+M17+O17+Q17+S17+V17+X17+Z17+AB17</f>
        <v>141</v>
      </c>
      <c r="E17" s="436">
        <f t="shared" ref="E17:E18" si="13">+T17</f>
        <v>0</v>
      </c>
      <c r="F17" s="437"/>
      <c r="G17" s="437"/>
      <c r="H17" s="437">
        <f>SUM(I17:I17)</f>
        <v>30.4</v>
      </c>
      <c r="I17" s="437">
        <v>30.4</v>
      </c>
      <c r="J17" s="437">
        <f>SUM(K17:K17)</f>
        <v>29.98</v>
      </c>
      <c r="K17" s="437">
        <v>29.98</v>
      </c>
      <c r="L17" s="437">
        <f>SUM(M17:M17)</f>
        <v>11.12</v>
      </c>
      <c r="M17" s="437">
        <v>11.12</v>
      </c>
      <c r="N17" s="437">
        <f>SUM(O17:O17)</f>
        <v>0</v>
      </c>
      <c r="O17" s="437"/>
      <c r="P17" s="437">
        <f>SUM(Q17:Q17)</f>
        <v>16.899999999999999</v>
      </c>
      <c r="Q17" s="437">
        <v>16.899999999999999</v>
      </c>
      <c r="R17" s="437">
        <f>SUM(S17:T17)</f>
        <v>16.649999999999999</v>
      </c>
      <c r="S17" s="437">
        <v>16.649999999999999</v>
      </c>
      <c r="T17" s="437"/>
      <c r="U17" s="437">
        <f>SUM(V17:V17)</f>
        <v>25.51</v>
      </c>
      <c r="V17" s="437">
        <v>25.51</v>
      </c>
      <c r="W17" s="437">
        <f>SUM(X17:X17)</f>
        <v>0</v>
      </c>
      <c r="X17" s="437"/>
      <c r="Y17" s="437">
        <f>SUM(Z17:Z17)</f>
        <v>2.8</v>
      </c>
      <c r="Z17" s="437">
        <v>2.8</v>
      </c>
      <c r="AA17" s="437">
        <f>SUM(AB17:AB17)</f>
        <v>7.64</v>
      </c>
      <c r="AB17" s="437">
        <v>7.64</v>
      </c>
    </row>
    <row r="18" spans="1:28" s="318" customFormat="1" ht="17.25" customHeight="1">
      <c r="A18" s="316" t="s">
        <v>257</v>
      </c>
      <c r="B18" s="320" t="s">
        <v>616</v>
      </c>
      <c r="C18" s="434">
        <f>SUM(D18:E18)</f>
        <v>0</v>
      </c>
      <c r="D18" s="437"/>
      <c r="E18" s="436">
        <f t="shared" si="13"/>
        <v>0</v>
      </c>
      <c r="F18" s="437">
        <f>SUM(G18:G18)</f>
        <v>0.95</v>
      </c>
      <c r="G18" s="437">
        <v>0.95</v>
      </c>
      <c r="H18" s="437">
        <f>SUM(I18:I18)</f>
        <v>0.95</v>
      </c>
      <c r="I18" s="437">
        <v>0.95</v>
      </c>
      <c r="J18" s="437">
        <f>SUM(K18:K18)</f>
        <v>0.95</v>
      </c>
      <c r="K18" s="437">
        <v>0.95</v>
      </c>
      <c r="L18" s="437">
        <f>SUM(M18:M18)</f>
        <v>0.95</v>
      </c>
      <c r="M18" s="437">
        <v>0.95</v>
      </c>
      <c r="N18" s="437">
        <f>SUM(O18:O18)</f>
        <v>0</v>
      </c>
      <c r="O18" s="437"/>
      <c r="P18" s="437">
        <f>SUM(Q18:Q18)</f>
        <v>0.95</v>
      </c>
      <c r="Q18" s="437">
        <v>0.95</v>
      </c>
      <c r="R18" s="437">
        <f>SUM(S18:T18)</f>
        <v>0.95</v>
      </c>
      <c r="S18" s="437">
        <v>0.95</v>
      </c>
      <c r="T18" s="437"/>
      <c r="U18" s="437">
        <f>SUM(V18:V18)</f>
        <v>0.95</v>
      </c>
      <c r="V18" s="437">
        <v>0.95</v>
      </c>
      <c r="W18" s="437">
        <f>SUM(X18:X18)</f>
        <v>0</v>
      </c>
      <c r="X18" s="437"/>
      <c r="Y18" s="437">
        <f>SUM(Z18:Z18)</f>
        <v>0.95</v>
      </c>
      <c r="Z18" s="437">
        <v>0.95</v>
      </c>
      <c r="AA18" s="437">
        <f>SUM(AB18:AB18)</f>
        <v>0.95</v>
      </c>
      <c r="AB18" s="437">
        <v>0.95</v>
      </c>
    </row>
    <row r="19" spans="1:28" s="319" customFormat="1" ht="19.5" customHeight="1">
      <c r="A19" s="303" t="s">
        <v>206</v>
      </c>
      <c r="B19" s="304" t="s">
        <v>795</v>
      </c>
      <c r="C19" s="434">
        <f t="shared" ref="C19:O19" si="14">C20+C21</f>
        <v>1691</v>
      </c>
      <c r="D19" s="434">
        <f t="shared" si="14"/>
        <v>1691</v>
      </c>
      <c r="E19" s="434">
        <f t="shared" si="14"/>
        <v>0</v>
      </c>
      <c r="F19" s="434">
        <f t="shared" si="14"/>
        <v>30</v>
      </c>
      <c r="G19" s="434">
        <f t="shared" si="14"/>
        <v>30</v>
      </c>
      <c r="H19" s="434">
        <f t="shared" si="14"/>
        <v>260</v>
      </c>
      <c r="I19" s="434">
        <f t="shared" si="14"/>
        <v>260</v>
      </c>
      <c r="J19" s="434">
        <f t="shared" si="14"/>
        <v>135</v>
      </c>
      <c r="K19" s="434">
        <f t="shared" si="14"/>
        <v>135</v>
      </c>
      <c r="L19" s="434">
        <f t="shared" si="14"/>
        <v>136</v>
      </c>
      <c r="M19" s="434">
        <f t="shared" si="14"/>
        <v>136</v>
      </c>
      <c r="N19" s="434">
        <f t="shared" si="14"/>
        <v>130</v>
      </c>
      <c r="O19" s="434">
        <f t="shared" si="14"/>
        <v>130</v>
      </c>
      <c r="P19" s="434">
        <f t="shared" ref="P19:Z19" si="15">P20+P21</f>
        <v>65</v>
      </c>
      <c r="Q19" s="434">
        <f t="shared" si="15"/>
        <v>65</v>
      </c>
      <c r="R19" s="434">
        <f t="shared" si="15"/>
        <v>150</v>
      </c>
      <c r="S19" s="434">
        <f t="shared" si="15"/>
        <v>150</v>
      </c>
      <c r="T19" s="434">
        <f t="shared" si="15"/>
        <v>0</v>
      </c>
      <c r="U19" s="434">
        <f t="shared" si="15"/>
        <v>180</v>
      </c>
      <c r="V19" s="434">
        <f t="shared" si="15"/>
        <v>180</v>
      </c>
      <c r="W19" s="434">
        <f t="shared" si="15"/>
        <v>280</v>
      </c>
      <c r="X19" s="434">
        <f t="shared" si="15"/>
        <v>280</v>
      </c>
      <c r="Y19" s="434">
        <f t="shared" si="15"/>
        <v>75</v>
      </c>
      <c r="Z19" s="434">
        <f t="shared" si="15"/>
        <v>75</v>
      </c>
      <c r="AA19" s="434">
        <f t="shared" ref="AA19:AB19" si="16">AA20+AA21</f>
        <v>250</v>
      </c>
      <c r="AB19" s="434">
        <f t="shared" si="16"/>
        <v>250</v>
      </c>
    </row>
    <row r="20" spans="1:28" s="318" customFormat="1" ht="21" customHeight="1">
      <c r="A20" s="321" t="s">
        <v>257</v>
      </c>
      <c r="B20" s="320" t="s">
        <v>617</v>
      </c>
      <c r="C20" s="437">
        <f t="shared" ref="C20:C28" si="17">SUM(D20:E20)</f>
        <v>1691</v>
      </c>
      <c r="D20" s="437">
        <f t="shared" ref="D20:D28" si="18">G20+I20+K20+M20+O20+Q20+S20+V20+X20+Z20+AB20</f>
        <v>1691</v>
      </c>
      <c r="E20" s="436">
        <f>+T20</f>
        <v>0</v>
      </c>
      <c r="F20" s="437">
        <f>SUM(G20:G20)</f>
        <v>30</v>
      </c>
      <c r="G20" s="437">
        <v>30</v>
      </c>
      <c r="H20" s="437">
        <f>SUM(I20:I20)</f>
        <v>260</v>
      </c>
      <c r="I20" s="437">
        <v>260</v>
      </c>
      <c r="J20" s="437">
        <f>SUM(K20:K20)</f>
        <v>135</v>
      </c>
      <c r="K20" s="437">
        <v>135</v>
      </c>
      <c r="L20" s="437">
        <f>SUM(M20:M20)</f>
        <v>136</v>
      </c>
      <c r="M20" s="437">
        <v>136</v>
      </c>
      <c r="N20" s="437">
        <f>SUM(O20:O20)</f>
        <v>130</v>
      </c>
      <c r="O20" s="437">
        <v>130</v>
      </c>
      <c r="P20" s="437">
        <f>SUM(Q20:Q20)</f>
        <v>65</v>
      </c>
      <c r="Q20" s="437">
        <v>65</v>
      </c>
      <c r="R20" s="437">
        <f t="shared" ref="R20:R28" si="19">SUM(S20:T20)</f>
        <v>150</v>
      </c>
      <c r="S20" s="437">
        <v>150</v>
      </c>
      <c r="T20" s="437"/>
      <c r="U20" s="437">
        <f>SUM(V20:V20)</f>
        <v>180</v>
      </c>
      <c r="V20" s="437">
        <v>180</v>
      </c>
      <c r="W20" s="437">
        <f>SUM(X20:X20)</f>
        <v>280</v>
      </c>
      <c r="X20" s="437">
        <v>280</v>
      </c>
      <c r="Y20" s="437">
        <f>SUM(Z20:Z20)</f>
        <v>75</v>
      </c>
      <c r="Z20" s="437">
        <v>75</v>
      </c>
      <c r="AA20" s="437">
        <f>SUM(AB20:AB20)</f>
        <v>250</v>
      </c>
      <c r="AB20" s="437">
        <v>250</v>
      </c>
    </row>
    <row r="21" spans="1:28" s="318" customFormat="1" ht="21" hidden="1" customHeight="1">
      <c r="A21" s="321" t="s">
        <v>257</v>
      </c>
      <c r="B21" s="320" t="s">
        <v>618</v>
      </c>
      <c r="C21" s="437">
        <f t="shared" si="17"/>
        <v>0</v>
      </c>
      <c r="D21" s="437">
        <f t="shared" si="18"/>
        <v>0</v>
      </c>
      <c r="E21" s="436">
        <f>+T21</f>
        <v>0</v>
      </c>
      <c r="F21" s="437"/>
      <c r="G21" s="437"/>
      <c r="H21" s="437"/>
      <c r="I21" s="437"/>
      <c r="J21" s="437"/>
      <c r="K21" s="437"/>
      <c r="L21" s="437"/>
      <c r="M21" s="437"/>
      <c r="N21" s="437"/>
      <c r="O21" s="437"/>
      <c r="P21" s="437"/>
      <c r="Q21" s="437"/>
      <c r="R21" s="437">
        <f t="shared" si="19"/>
        <v>0</v>
      </c>
      <c r="S21" s="437"/>
      <c r="T21" s="437"/>
      <c r="U21" s="437"/>
      <c r="V21" s="437"/>
      <c r="W21" s="437"/>
      <c r="X21" s="437"/>
      <c r="Y21" s="437"/>
      <c r="Z21" s="437"/>
      <c r="AA21" s="437"/>
      <c r="AB21" s="437"/>
    </row>
    <row r="22" spans="1:28" s="319" customFormat="1" ht="21" customHeight="1">
      <c r="A22" s="303" t="s">
        <v>208</v>
      </c>
      <c r="B22" s="304" t="s">
        <v>619</v>
      </c>
      <c r="C22" s="434">
        <f t="shared" si="17"/>
        <v>943.00000000000011</v>
      </c>
      <c r="D22" s="434">
        <f t="shared" si="18"/>
        <v>943.00000000000011</v>
      </c>
      <c r="E22" s="436">
        <f>+T22</f>
        <v>0</v>
      </c>
      <c r="F22" s="434">
        <f t="shared" ref="F22:F28" si="20">SUM(G22:G22)</f>
        <v>126.31</v>
      </c>
      <c r="G22" s="434">
        <v>126.31</v>
      </c>
      <c r="H22" s="434">
        <f t="shared" ref="H22:H28" si="21">SUM(I22:I22)</f>
        <v>72.489999999999995</v>
      </c>
      <c r="I22" s="434">
        <v>72.489999999999995</v>
      </c>
      <c r="J22" s="434">
        <f t="shared" ref="J22:J28" si="22">SUM(K22:K22)</f>
        <v>43</v>
      </c>
      <c r="K22" s="434">
        <v>43</v>
      </c>
      <c r="L22" s="434">
        <f t="shared" ref="L22:L28" si="23">SUM(M22:M22)</f>
        <v>125.94</v>
      </c>
      <c r="M22" s="434">
        <v>125.94</v>
      </c>
      <c r="N22" s="434">
        <f t="shared" ref="N22:N28" si="24">SUM(O22:O22)</f>
        <v>123.24</v>
      </c>
      <c r="O22" s="434">
        <v>123.24</v>
      </c>
      <c r="P22" s="434">
        <f t="shared" ref="P22:P28" si="25">SUM(Q22:Q22)</f>
        <v>46.44</v>
      </c>
      <c r="Q22" s="434">
        <v>46.44</v>
      </c>
      <c r="R22" s="434">
        <f t="shared" si="19"/>
        <v>167.1</v>
      </c>
      <c r="S22" s="434">
        <v>167.1</v>
      </c>
      <c r="T22" s="434"/>
      <c r="U22" s="434">
        <f t="shared" ref="U22:U28" si="26">SUM(V22:V22)</f>
        <v>31.82</v>
      </c>
      <c r="V22" s="434">
        <v>31.82</v>
      </c>
      <c r="W22" s="434">
        <f t="shared" ref="W22:W28" si="27">SUM(X22:X22)</f>
        <v>61.43</v>
      </c>
      <c r="X22" s="434">
        <v>61.43</v>
      </c>
      <c r="Y22" s="434">
        <f t="shared" ref="Y22:Y28" si="28">SUM(Z22:Z22)</f>
        <v>114.51</v>
      </c>
      <c r="Z22" s="434">
        <v>114.51</v>
      </c>
      <c r="AA22" s="434">
        <f t="shared" ref="AA22:AA28" si="29">SUM(AB22:AB22)</f>
        <v>30.72</v>
      </c>
      <c r="AB22" s="438">
        <v>30.72</v>
      </c>
    </row>
    <row r="23" spans="1:28" s="319" customFormat="1" ht="74.25">
      <c r="A23" s="303" t="s">
        <v>216</v>
      </c>
      <c r="B23" s="322" t="s">
        <v>788</v>
      </c>
      <c r="C23" s="434">
        <f t="shared" si="17"/>
        <v>197.60000000000002</v>
      </c>
      <c r="D23" s="434">
        <f t="shared" si="18"/>
        <v>197.60000000000002</v>
      </c>
      <c r="E23" s="436">
        <f>+T23</f>
        <v>0</v>
      </c>
      <c r="F23" s="434">
        <f t="shared" si="20"/>
        <v>25.65</v>
      </c>
      <c r="G23" s="434">
        <f>(7.4+1.6+0.15+1.5)+15</f>
        <v>25.65</v>
      </c>
      <c r="H23" s="434">
        <f t="shared" si="21"/>
        <v>25.450000000000003</v>
      </c>
      <c r="I23" s="434">
        <f>(7.4+1.4+0.15+1.5)+15</f>
        <v>25.450000000000003</v>
      </c>
      <c r="J23" s="434">
        <f t="shared" si="22"/>
        <v>12.3</v>
      </c>
      <c r="K23" s="434">
        <f>(5.4+0.6+0.15)*2</f>
        <v>12.3</v>
      </c>
      <c r="L23" s="434">
        <f t="shared" si="23"/>
        <v>18.100000000000001</v>
      </c>
      <c r="M23" s="434">
        <f>(6.4+1+0.15+1.5)*2</f>
        <v>18.100000000000001</v>
      </c>
      <c r="N23" s="434">
        <f t="shared" si="24"/>
        <v>12.700000000000001</v>
      </c>
      <c r="O23" s="434">
        <f>(5.4+0.8+0.15)*2</f>
        <v>12.700000000000001</v>
      </c>
      <c r="P23" s="434">
        <f t="shared" si="25"/>
        <v>12.700000000000001</v>
      </c>
      <c r="Q23" s="434">
        <f>(5.4+0.8+0.15)*2</f>
        <v>12.700000000000001</v>
      </c>
      <c r="R23" s="434">
        <f t="shared" si="19"/>
        <v>24.900000000000002</v>
      </c>
      <c r="S23" s="434">
        <f>(7.4+1.4+0.15+1.5+2)*2</f>
        <v>24.900000000000002</v>
      </c>
      <c r="T23" s="434"/>
      <c r="U23" s="434">
        <f t="shared" si="26"/>
        <v>12.3</v>
      </c>
      <c r="V23" s="434">
        <f>(5.4+0.6+0.15)*2</f>
        <v>12.3</v>
      </c>
      <c r="W23" s="434">
        <f t="shared" si="27"/>
        <v>15.900000000000002</v>
      </c>
      <c r="X23" s="434">
        <f>(6.4+1.4+0.15)*2</f>
        <v>15.900000000000002</v>
      </c>
      <c r="Y23" s="434">
        <f t="shared" si="28"/>
        <v>18.5</v>
      </c>
      <c r="Z23" s="434">
        <f>(6.4+1.2+0.15+1.5)*2</f>
        <v>18.5</v>
      </c>
      <c r="AA23" s="434">
        <f t="shared" si="29"/>
        <v>19.100000000000001</v>
      </c>
      <c r="AB23" s="434">
        <f>(7.4+2+0.15)*2</f>
        <v>19.100000000000001</v>
      </c>
    </row>
    <row r="24" spans="1:28" s="286" customFormat="1" ht="33.75" customHeight="1">
      <c r="A24" s="284" t="s">
        <v>217</v>
      </c>
      <c r="B24" s="293" t="s">
        <v>820</v>
      </c>
      <c r="C24" s="435">
        <f t="shared" si="17"/>
        <v>1919.25</v>
      </c>
      <c r="D24" s="435">
        <f t="shared" si="18"/>
        <v>1919.25</v>
      </c>
      <c r="E24" s="436">
        <f>+T24</f>
        <v>0</v>
      </c>
      <c r="F24" s="435">
        <f t="shared" si="20"/>
        <v>0</v>
      </c>
      <c r="G24" s="435"/>
      <c r="H24" s="435">
        <f t="shared" si="21"/>
        <v>258</v>
      </c>
      <c r="I24" s="435">
        <v>258</v>
      </c>
      <c r="J24" s="435">
        <f t="shared" si="22"/>
        <v>177.45</v>
      </c>
      <c r="K24" s="435">
        <v>177.45</v>
      </c>
      <c r="L24" s="435">
        <f t="shared" si="23"/>
        <v>177.45</v>
      </c>
      <c r="M24" s="435">
        <v>177.45</v>
      </c>
      <c r="N24" s="435">
        <f t="shared" si="24"/>
        <v>177.45</v>
      </c>
      <c r="O24" s="435">
        <v>177.45</v>
      </c>
      <c r="P24" s="435">
        <f t="shared" si="25"/>
        <v>177.45</v>
      </c>
      <c r="Q24" s="435">
        <v>177.45</v>
      </c>
      <c r="R24" s="435">
        <f t="shared" si="19"/>
        <v>258</v>
      </c>
      <c r="S24" s="435">
        <v>258</v>
      </c>
      <c r="T24" s="435"/>
      <c r="U24" s="435">
        <f t="shared" si="26"/>
        <v>177.45</v>
      </c>
      <c r="V24" s="435">
        <v>177.45</v>
      </c>
      <c r="W24" s="435">
        <f t="shared" si="27"/>
        <v>258</v>
      </c>
      <c r="X24" s="435">
        <v>258</v>
      </c>
      <c r="Y24" s="435">
        <f t="shared" si="28"/>
        <v>258</v>
      </c>
      <c r="Z24" s="435">
        <v>258</v>
      </c>
      <c r="AA24" s="435">
        <f t="shared" si="29"/>
        <v>0</v>
      </c>
      <c r="AB24" s="435"/>
    </row>
    <row r="25" spans="1:28" s="286" customFormat="1" ht="17.25" hidden="1" customHeight="1">
      <c r="A25" s="284" t="s">
        <v>218</v>
      </c>
      <c r="B25" s="331"/>
      <c r="C25" s="435">
        <f t="shared" si="17"/>
        <v>0</v>
      </c>
      <c r="D25" s="435">
        <f t="shared" si="18"/>
        <v>0</v>
      </c>
      <c r="E25" s="436">
        <f t="shared" ref="E25:E28" si="30">+T25</f>
        <v>0</v>
      </c>
      <c r="F25" s="435">
        <f t="shared" si="20"/>
        <v>0</v>
      </c>
      <c r="G25" s="435"/>
      <c r="H25" s="435">
        <f t="shared" si="21"/>
        <v>0</v>
      </c>
      <c r="I25" s="435"/>
      <c r="J25" s="435">
        <f t="shared" si="22"/>
        <v>0</v>
      </c>
      <c r="K25" s="435"/>
      <c r="L25" s="435">
        <f t="shared" si="23"/>
        <v>0</v>
      </c>
      <c r="M25" s="435"/>
      <c r="N25" s="435">
        <f t="shared" si="24"/>
        <v>0</v>
      </c>
      <c r="O25" s="435"/>
      <c r="P25" s="435">
        <f t="shared" si="25"/>
        <v>0</v>
      </c>
      <c r="Q25" s="435"/>
      <c r="R25" s="435">
        <f t="shared" si="19"/>
        <v>0</v>
      </c>
      <c r="S25" s="435"/>
      <c r="T25" s="435"/>
      <c r="U25" s="435">
        <f t="shared" si="26"/>
        <v>0</v>
      </c>
      <c r="V25" s="435"/>
      <c r="W25" s="435">
        <f t="shared" si="27"/>
        <v>0</v>
      </c>
      <c r="X25" s="435"/>
      <c r="Y25" s="435">
        <f t="shared" si="28"/>
        <v>0</v>
      </c>
      <c r="Z25" s="435"/>
      <c r="AA25" s="435">
        <f t="shared" si="29"/>
        <v>0</v>
      </c>
      <c r="AB25" s="435"/>
    </row>
    <row r="26" spans="1:28" s="286" customFormat="1" ht="16.5" hidden="1" customHeight="1">
      <c r="A26" s="284" t="s">
        <v>219</v>
      </c>
      <c r="B26" s="293"/>
      <c r="C26" s="435">
        <f t="shared" si="17"/>
        <v>0</v>
      </c>
      <c r="D26" s="435">
        <f t="shared" si="18"/>
        <v>0</v>
      </c>
      <c r="E26" s="436">
        <f t="shared" si="30"/>
        <v>0</v>
      </c>
      <c r="F26" s="435">
        <f t="shared" si="20"/>
        <v>0</v>
      </c>
      <c r="G26" s="435"/>
      <c r="H26" s="435">
        <f t="shared" si="21"/>
        <v>0</v>
      </c>
      <c r="I26" s="435"/>
      <c r="J26" s="435">
        <f t="shared" si="22"/>
        <v>0</v>
      </c>
      <c r="K26" s="435"/>
      <c r="L26" s="435">
        <f t="shared" si="23"/>
        <v>0</v>
      </c>
      <c r="M26" s="435"/>
      <c r="N26" s="435">
        <f t="shared" si="24"/>
        <v>0</v>
      </c>
      <c r="O26" s="435"/>
      <c r="P26" s="435">
        <f t="shared" si="25"/>
        <v>0</v>
      </c>
      <c r="Q26" s="435"/>
      <c r="R26" s="435">
        <f t="shared" si="19"/>
        <v>0</v>
      </c>
      <c r="S26" s="435"/>
      <c r="T26" s="435"/>
      <c r="U26" s="435">
        <f t="shared" si="26"/>
        <v>0</v>
      </c>
      <c r="V26" s="435"/>
      <c r="W26" s="435">
        <f t="shared" si="27"/>
        <v>0</v>
      </c>
      <c r="X26" s="435"/>
      <c r="Y26" s="435">
        <f t="shared" si="28"/>
        <v>0</v>
      </c>
      <c r="Z26" s="435"/>
      <c r="AA26" s="435">
        <f t="shared" si="29"/>
        <v>0</v>
      </c>
      <c r="AB26" s="435"/>
    </row>
    <row r="27" spans="1:28" s="286" customFormat="1" ht="17.25" hidden="1" customHeight="1">
      <c r="A27" s="284" t="s">
        <v>220</v>
      </c>
      <c r="B27" s="331"/>
      <c r="C27" s="435">
        <f t="shared" si="17"/>
        <v>0</v>
      </c>
      <c r="D27" s="435">
        <f t="shared" si="18"/>
        <v>0</v>
      </c>
      <c r="E27" s="436">
        <f t="shared" si="30"/>
        <v>0</v>
      </c>
      <c r="F27" s="435">
        <f t="shared" si="20"/>
        <v>0</v>
      </c>
      <c r="G27" s="435"/>
      <c r="H27" s="435">
        <f t="shared" si="21"/>
        <v>0</v>
      </c>
      <c r="I27" s="435"/>
      <c r="J27" s="435">
        <f t="shared" si="22"/>
        <v>0</v>
      </c>
      <c r="K27" s="435"/>
      <c r="L27" s="435">
        <f t="shared" si="23"/>
        <v>0</v>
      </c>
      <c r="M27" s="435"/>
      <c r="N27" s="435">
        <f t="shared" si="24"/>
        <v>0</v>
      </c>
      <c r="O27" s="435"/>
      <c r="P27" s="435">
        <f t="shared" si="25"/>
        <v>0</v>
      </c>
      <c r="Q27" s="435"/>
      <c r="R27" s="435">
        <f t="shared" si="19"/>
        <v>0</v>
      </c>
      <c r="S27" s="435"/>
      <c r="T27" s="435"/>
      <c r="U27" s="435">
        <f t="shared" si="26"/>
        <v>0</v>
      </c>
      <c r="V27" s="435"/>
      <c r="W27" s="435">
        <f t="shared" si="27"/>
        <v>0</v>
      </c>
      <c r="X27" s="435"/>
      <c r="Y27" s="435">
        <f t="shared" si="28"/>
        <v>0</v>
      </c>
      <c r="Z27" s="435"/>
      <c r="AA27" s="435">
        <f t="shared" si="29"/>
        <v>0</v>
      </c>
      <c r="AB27" s="435"/>
    </row>
    <row r="28" spans="1:28" s="286" customFormat="1" ht="17.25" hidden="1" customHeight="1">
      <c r="A28" s="284" t="s">
        <v>222</v>
      </c>
      <c r="B28" s="331"/>
      <c r="C28" s="435">
        <f t="shared" si="17"/>
        <v>0</v>
      </c>
      <c r="D28" s="435">
        <f t="shared" si="18"/>
        <v>0</v>
      </c>
      <c r="E28" s="436">
        <f t="shared" si="30"/>
        <v>0</v>
      </c>
      <c r="F28" s="435">
        <f t="shared" si="20"/>
        <v>0</v>
      </c>
      <c r="G28" s="435"/>
      <c r="H28" s="435">
        <f t="shared" si="21"/>
        <v>0</v>
      </c>
      <c r="I28" s="435"/>
      <c r="J28" s="435">
        <f t="shared" si="22"/>
        <v>0</v>
      </c>
      <c r="K28" s="435"/>
      <c r="L28" s="435">
        <f t="shared" si="23"/>
        <v>0</v>
      </c>
      <c r="M28" s="435"/>
      <c r="N28" s="435">
        <f t="shared" si="24"/>
        <v>0</v>
      </c>
      <c r="O28" s="435"/>
      <c r="P28" s="435">
        <f t="shared" si="25"/>
        <v>0</v>
      </c>
      <c r="Q28" s="435"/>
      <c r="R28" s="435">
        <f t="shared" si="19"/>
        <v>0</v>
      </c>
      <c r="S28" s="435"/>
      <c r="T28" s="435"/>
      <c r="U28" s="435">
        <f t="shared" si="26"/>
        <v>0</v>
      </c>
      <c r="V28" s="435"/>
      <c r="W28" s="435">
        <f t="shared" si="27"/>
        <v>0</v>
      </c>
      <c r="X28" s="435"/>
      <c r="Y28" s="435">
        <f t="shared" si="28"/>
        <v>0</v>
      </c>
      <c r="Z28" s="435"/>
      <c r="AA28" s="435">
        <f t="shared" si="29"/>
        <v>0</v>
      </c>
      <c r="AB28" s="435"/>
    </row>
    <row r="29" spans="1:28" s="286" customFormat="1" ht="17.25" customHeight="1">
      <c r="A29" s="284">
        <v>3</v>
      </c>
      <c r="B29" s="285" t="s">
        <v>620</v>
      </c>
      <c r="C29" s="435">
        <f t="shared" ref="C29:E29" si="31">SUM(C30:C31)</f>
        <v>970</v>
      </c>
      <c r="D29" s="435">
        <f>SUM(D30:D31)</f>
        <v>970</v>
      </c>
      <c r="E29" s="435">
        <f t="shared" si="31"/>
        <v>0</v>
      </c>
      <c r="F29" s="435">
        <f t="shared" ref="F29:AB29" si="32">SUM(F30:F31)</f>
        <v>50</v>
      </c>
      <c r="G29" s="435">
        <f t="shared" si="32"/>
        <v>50</v>
      </c>
      <c r="H29" s="435">
        <f>SUM(H30:H31)</f>
        <v>150</v>
      </c>
      <c r="I29" s="435">
        <f t="shared" si="32"/>
        <v>150</v>
      </c>
      <c r="J29" s="435">
        <f>SUM(J30:J31)</f>
        <v>150</v>
      </c>
      <c r="K29" s="435">
        <f t="shared" si="32"/>
        <v>150</v>
      </c>
      <c r="L29" s="435">
        <f>SUM(L30:L31)</f>
        <v>50</v>
      </c>
      <c r="M29" s="435">
        <f t="shared" si="32"/>
        <v>50</v>
      </c>
      <c r="N29" s="435">
        <f>SUM(N30:N31)</f>
        <v>50</v>
      </c>
      <c r="O29" s="435">
        <f t="shared" si="32"/>
        <v>50</v>
      </c>
      <c r="P29" s="435">
        <f>SUM(P30:P31)</f>
        <v>50</v>
      </c>
      <c r="Q29" s="435">
        <f t="shared" si="32"/>
        <v>50</v>
      </c>
      <c r="R29" s="435">
        <f>SUM(R30:R31)</f>
        <v>170</v>
      </c>
      <c r="S29" s="435">
        <f t="shared" si="32"/>
        <v>170</v>
      </c>
      <c r="T29" s="435">
        <f t="shared" si="32"/>
        <v>0</v>
      </c>
      <c r="U29" s="435">
        <f>SUM(U30:U31)</f>
        <v>50</v>
      </c>
      <c r="V29" s="435">
        <f t="shared" si="32"/>
        <v>50</v>
      </c>
      <c r="W29" s="435">
        <f>SUM(W30:W31)</f>
        <v>150</v>
      </c>
      <c r="X29" s="435">
        <f t="shared" si="32"/>
        <v>150</v>
      </c>
      <c r="Y29" s="435">
        <f>SUM(Y30:Y31)</f>
        <v>50</v>
      </c>
      <c r="Z29" s="435">
        <f t="shared" si="32"/>
        <v>50</v>
      </c>
      <c r="AA29" s="435">
        <f>SUM(AA30:AA31)</f>
        <v>50</v>
      </c>
      <c r="AB29" s="435">
        <f t="shared" si="32"/>
        <v>50</v>
      </c>
    </row>
    <row r="30" spans="1:28" ht="17.25" customHeight="1">
      <c r="A30" s="287" t="s">
        <v>257</v>
      </c>
      <c r="B30" s="288" t="s">
        <v>798</v>
      </c>
      <c r="C30" s="436">
        <f>SUM(D30:E30)</f>
        <v>970</v>
      </c>
      <c r="D30" s="436">
        <f>G30+I30+K30+M30+O30+Q30+S30+V30+X30+Z30+AB30</f>
        <v>970</v>
      </c>
      <c r="E30" s="436">
        <f>+T30</f>
        <v>0</v>
      </c>
      <c r="F30" s="436">
        <f>SUM(G30:G30)</f>
        <v>50</v>
      </c>
      <c r="G30" s="436">
        <v>50</v>
      </c>
      <c r="H30" s="436">
        <f>SUM(I30:I30)</f>
        <v>150</v>
      </c>
      <c r="I30" s="436">
        <v>150</v>
      </c>
      <c r="J30" s="436">
        <f>SUM(K30:K30)</f>
        <v>150</v>
      </c>
      <c r="K30" s="436">
        <v>150</v>
      </c>
      <c r="L30" s="436">
        <f>SUM(M30:M30)</f>
        <v>50</v>
      </c>
      <c r="M30" s="436">
        <v>50</v>
      </c>
      <c r="N30" s="436">
        <f>SUM(O30:O30)</f>
        <v>50</v>
      </c>
      <c r="O30" s="436">
        <v>50</v>
      </c>
      <c r="P30" s="436">
        <f>SUM(Q30:Q30)</f>
        <v>50</v>
      </c>
      <c r="Q30" s="436">
        <v>50</v>
      </c>
      <c r="R30" s="436">
        <f>SUM(S30:T30)</f>
        <v>170</v>
      </c>
      <c r="S30" s="436">
        <v>170</v>
      </c>
      <c r="T30" s="436"/>
      <c r="U30" s="436">
        <f>SUM(V30:V30)</f>
        <v>50</v>
      </c>
      <c r="V30" s="436">
        <v>50</v>
      </c>
      <c r="W30" s="436">
        <f>SUM(X30:X30)</f>
        <v>150</v>
      </c>
      <c r="X30" s="436">
        <v>150</v>
      </c>
      <c r="Y30" s="436">
        <f>SUM(Z30:Z30)</f>
        <v>50</v>
      </c>
      <c r="Z30" s="436">
        <v>50</v>
      </c>
      <c r="AA30" s="436">
        <f>SUM(AB30:AB30)</f>
        <v>50</v>
      </c>
      <c r="AB30" s="436">
        <v>50</v>
      </c>
    </row>
    <row r="31" spans="1:28" ht="17.25" hidden="1" customHeight="1">
      <c r="A31" s="292" t="s">
        <v>257</v>
      </c>
      <c r="B31" s="288"/>
      <c r="C31" s="436">
        <f>SUM(D31:E31)</f>
        <v>0</v>
      </c>
      <c r="D31" s="436">
        <f>G31+I31+K31+M31+O31+Q31+S31+V31+X31+Z31+AB31</f>
        <v>0</v>
      </c>
      <c r="E31" s="436">
        <f>+T31</f>
        <v>0</v>
      </c>
      <c r="F31" s="436">
        <f>SUM(G31:G31)</f>
        <v>0</v>
      </c>
      <c r="G31" s="436"/>
      <c r="H31" s="436">
        <f>SUM(I31:I31)</f>
        <v>0</v>
      </c>
      <c r="I31" s="436"/>
      <c r="J31" s="436">
        <f>SUM(K31:K31)</f>
        <v>0</v>
      </c>
      <c r="K31" s="436"/>
      <c r="L31" s="436">
        <f>SUM(M31:M31)</f>
        <v>0</v>
      </c>
      <c r="M31" s="436"/>
      <c r="N31" s="436">
        <f>SUM(O31:O31)</f>
        <v>0</v>
      </c>
      <c r="O31" s="436"/>
      <c r="P31" s="436">
        <f>SUM(Q31:Q31)</f>
        <v>0</v>
      </c>
      <c r="Q31" s="436"/>
      <c r="R31" s="436">
        <f>SUM(S31:T31)</f>
        <v>0</v>
      </c>
      <c r="S31" s="436"/>
      <c r="T31" s="436"/>
      <c r="U31" s="436">
        <f>SUM(V31:V31)</f>
        <v>0</v>
      </c>
      <c r="V31" s="436"/>
      <c r="W31" s="436">
        <f>SUM(X31:X31)</f>
        <v>0</v>
      </c>
      <c r="X31" s="436"/>
      <c r="Y31" s="436">
        <f>SUM(Z31:Z31)</f>
        <v>0</v>
      </c>
      <c r="Z31" s="436"/>
      <c r="AA31" s="436">
        <f>SUM(AB31:AB31)</f>
        <v>0</v>
      </c>
      <c r="AB31" s="436"/>
    </row>
    <row r="32" spans="1:28" s="286" customFormat="1" ht="17.25" customHeight="1">
      <c r="A32" s="284">
        <v>4</v>
      </c>
      <c r="B32" s="285" t="s">
        <v>678</v>
      </c>
      <c r="C32" s="435">
        <f>C33+C35+C36</f>
        <v>691</v>
      </c>
      <c r="D32" s="435">
        <f t="shared" ref="D32:O32" si="33">D33+D35+D36</f>
        <v>640</v>
      </c>
      <c r="E32" s="435">
        <f t="shared" si="33"/>
        <v>51</v>
      </c>
      <c r="F32" s="435">
        <f t="shared" si="33"/>
        <v>65</v>
      </c>
      <c r="G32" s="435">
        <f t="shared" si="33"/>
        <v>65</v>
      </c>
      <c r="H32" s="435">
        <f t="shared" si="33"/>
        <v>65</v>
      </c>
      <c r="I32" s="435">
        <f t="shared" si="33"/>
        <v>65</v>
      </c>
      <c r="J32" s="435">
        <f t="shared" si="33"/>
        <v>50</v>
      </c>
      <c r="K32" s="435">
        <f t="shared" si="33"/>
        <v>50</v>
      </c>
      <c r="L32" s="435">
        <f t="shared" si="33"/>
        <v>50</v>
      </c>
      <c r="M32" s="435">
        <f t="shared" si="33"/>
        <v>50</v>
      </c>
      <c r="N32" s="435">
        <f t="shared" si="33"/>
        <v>50</v>
      </c>
      <c r="O32" s="435">
        <f t="shared" si="33"/>
        <v>50</v>
      </c>
      <c r="P32" s="435">
        <f t="shared" ref="P32:Z32" si="34">P33+P35+P36</f>
        <v>50</v>
      </c>
      <c r="Q32" s="435">
        <f t="shared" si="34"/>
        <v>50</v>
      </c>
      <c r="R32" s="435">
        <f t="shared" si="34"/>
        <v>116</v>
      </c>
      <c r="S32" s="435">
        <f t="shared" si="34"/>
        <v>65</v>
      </c>
      <c r="T32" s="435">
        <f t="shared" si="34"/>
        <v>51</v>
      </c>
      <c r="U32" s="435">
        <f t="shared" si="34"/>
        <v>50</v>
      </c>
      <c r="V32" s="435">
        <f t="shared" si="34"/>
        <v>50</v>
      </c>
      <c r="W32" s="435">
        <f t="shared" si="34"/>
        <v>65</v>
      </c>
      <c r="X32" s="435">
        <f t="shared" si="34"/>
        <v>65</v>
      </c>
      <c r="Y32" s="435">
        <f t="shared" si="34"/>
        <v>65</v>
      </c>
      <c r="Z32" s="435">
        <f t="shared" si="34"/>
        <v>65</v>
      </c>
      <c r="AA32" s="435">
        <f t="shared" ref="AA32:AB32" si="35">AA33+AA35+AA36</f>
        <v>65</v>
      </c>
      <c r="AB32" s="435">
        <f t="shared" si="35"/>
        <v>65</v>
      </c>
    </row>
    <row r="33" spans="1:29" ht="17.25" customHeight="1">
      <c r="A33" s="292" t="s">
        <v>257</v>
      </c>
      <c r="B33" s="288" t="s">
        <v>621</v>
      </c>
      <c r="C33" s="436">
        <f>SUM(D33:E33)</f>
        <v>246</v>
      </c>
      <c r="D33" s="436">
        <f>G33+I33+K33+M33+O33+Q33+S33+V33+X33+Z33+AB33</f>
        <v>195</v>
      </c>
      <c r="E33" s="436">
        <f>+T33</f>
        <v>51</v>
      </c>
      <c r="F33" s="436">
        <f>SUM(G33:G33)</f>
        <v>20</v>
      </c>
      <c r="G33" s="436">
        <v>20</v>
      </c>
      <c r="H33" s="436">
        <f>SUM(I33:I33)</f>
        <v>20</v>
      </c>
      <c r="I33" s="436">
        <v>20</v>
      </c>
      <c r="J33" s="436">
        <f>SUM(K33:K33)</f>
        <v>15</v>
      </c>
      <c r="K33" s="436">
        <v>15</v>
      </c>
      <c r="L33" s="436">
        <f>SUM(M33:M33)</f>
        <v>15</v>
      </c>
      <c r="M33" s="436">
        <v>15</v>
      </c>
      <c r="N33" s="436">
        <f>SUM(O33:O33)</f>
        <v>15</v>
      </c>
      <c r="O33" s="436">
        <v>15</v>
      </c>
      <c r="P33" s="436">
        <f>SUM(Q33:Q33)</f>
        <v>15</v>
      </c>
      <c r="Q33" s="436">
        <v>15</v>
      </c>
      <c r="R33" s="436">
        <f>SUM(S33:T33)</f>
        <v>71</v>
      </c>
      <c r="S33" s="436">
        <f>20</f>
        <v>20</v>
      </c>
      <c r="T33" s="436">
        <v>51</v>
      </c>
      <c r="U33" s="436">
        <f>SUM(V33:V33)</f>
        <v>15</v>
      </c>
      <c r="V33" s="436">
        <v>15</v>
      </c>
      <c r="W33" s="436">
        <f>SUM(X33:X33)</f>
        <v>20</v>
      </c>
      <c r="X33" s="436">
        <v>20</v>
      </c>
      <c r="Y33" s="436">
        <f>SUM(Z33:Z33)</f>
        <v>20</v>
      </c>
      <c r="Z33" s="436">
        <v>20</v>
      </c>
      <c r="AA33" s="436">
        <f>SUM(AB33:AB33)</f>
        <v>20</v>
      </c>
      <c r="AB33" s="436">
        <v>20</v>
      </c>
    </row>
    <row r="34" spans="1:29" ht="69" customHeight="1">
      <c r="A34" s="292"/>
      <c r="B34" s="291" t="s">
        <v>819</v>
      </c>
      <c r="C34" s="436">
        <f>SUM(D34:E34)</f>
        <v>51</v>
      </c>
      <c r="D34" s="436"/>
      <c r="E34" s="436">
        <f t="shared" ref="E34:E59" si="36">+T34</f>
        <v>51</v>
      </c>
      <c r="F34" s="436"/>
      <c r="G34" s="436"/>
      <c r="H34" s="436"/>
      <c r="I34" s="436"/>
      <c r="J34" s="436"/>
      <c r="K34" s="436"/>
      <c r="L34" s="436"/>
      <c r="M34" s="436"/>
      <c r="N34" s="436"/>
      <c r="O34" s="436"/>
      <c r="P34" s="436"/>
      <c r="Q34" s="436"/>
      <c r="R34" s="436">
        <f>SUM(S34:T34)</f>
        <v>51</v>
      </c>
      <c r="S34" s="436"/>
      <c r="T34" s="436">
        <v>51</v>
      </c>
      <c r="U34" s="436"/>
      <c r="V34" s="436"/>
      <c r="W34" s="436"/>
      <c r="X34" s="436"/>
      <c r="Y34" s="436"/>
      <c r="Z34" s="436"/>
      <c r="AA34" s="436"/>
      <c r="AB34" s="436"/>
    </row>
    <row r="35" spans="1:29" ht="17.25" customHeight="1">
      <c r="A35" s="292" t="s">
        <v>257</v>
      </c>
      <c r="B35" s="288" t="s">
        <v>622</v>
      </c>
      <c r="C35" s="436">
        <f>SUM(D35:E35)</f>
        <v>305</v>
      </c>
      <c r="D35" s="436">
        <f>G35+I35+K35+M35+O35+Q35+S35+V35+X35+Z35+AB35</f>
        <v>305</v>
      </c>
      <c r="E35" s="436">
        <f t="shared" si="36"/>
        <v>0</v>
      </c>
      <c r="F35" s="436">
        <f>SUM(G35:G35)</f>
        <v>30</v>
      </c>
      <c r="G35" s="436">
        <v>30</v>
      </c>
      <c r="H35" s="436">
        <f>SUM(I35:I35)</f>
        <v>30</v>
      </c>
      <c r="I35" s="436">
        <v>30</v>
      </c>
      <c r="J35" s="436">
        <f>SUM(K35:K35)</f>
        <v>25</v>
      </c>
      <c r="K35" s="436">
        <v>25</v>
      </c>
      <c r="L35" s="436">
        <f>SUM(M35:M35)</f>
        <v>25</v>
      </c>
      <c r="M35" s="436">
        <v>25</v>
      </c>
      <c r="N35" s="436">
        <f>SUM(O35:O35)</f>
        <v>25</v>
      </c>
      <c r="O35" s="436">
        <v>25</v>
      </c>
      <c r="P35" s="436">
        <f>SUM(Q35:Q35)</f>
        <v>25</v>
      </c>
      <c r="Q35" s="436">
        <v>25</v>
      </c>
      <c r="R35" s="436">
        <f>SUM(S35:T35)</f>
        <v>30</v>
      </c>
      <c r="S35" s="436">
        <v>30</v>
      </c>
      <c r="T35" s="436"/>
      <c r="U35" s="436">
        <f>SUM(V35:V35)</f>
        <v>25</v>
      </c>
      <c r="V35" s="436">
        <v>25</v>
      </c>
      <c r="W35" s="436">
        <f>SUM(X35:X35)</f>
        <v>30</v>
      </c>
      <c r="X35" s="436">
        <v>30</v>
      </c>
      <c r="Y35" s="436">
        <f>SUM(Z35:Z35)</f>
        <v>30</v>
      </c>
      <c r="Z35" s="436">
        <v>30</v>
      </c>
      <c r="AA35" s="436">
        <f>SUM(AB35:AB35)</f>
        <v>30</v>
      </c>
      <c r="AB35" s="436">
        <v>30</v>
      </c>
    </row>
    <row r="36" spans="1:29" ht="17.25" customHeight="1">
      <c r="A36" s="292" t="s">
        <v>257</v>
      </c>
      <c r="B36" s="288" t="s">
        <v>677</v>
      </c>
      <c r="C36" s="436">
        <f>SUM(D36:E36)</f>
        <v>140</v>
      </c>
      <c r="D36" s="436">
        <f>G36+I36+K36+M36+O36+Q36+S36+V36+X36+Z36+AB36</f>
        <v>140</v>
      </c>
      <c r="E36" s="436">
        <f t="shared" si="36"/>
        <v>0</v>
      </c>
      <c r="F36" s="436">
        <f>SUM(G36:G36)</f>
        <v>15</v>
      </c>
      <c r="G36" s="436">
        <v>15</v>
      </c>
      <c r="H36" s="436">
        <f>SUM(I36:I36)</f>
        <v>15</v>
      </c>
      <c r="I36" s="436">
        <v>15</v>
      </c>
      <c r="J36" s="436">
        <f>SUM(K36:K36)</f>
        <v>10</v>
      </c>
      <c r="K36" s="436">
        <v>10</v>
      </c>
      <c r="L36" s="436">
        <f>SUM(M36:M36)</f>
        <v>10</v>
      </c>
      <c r="M36" s="436">
        <v>10</v>
      </c>
      <c r="N36" s="436">
        <f>SUM(O36:O36)</f>
        <v>10</v>
      </c>
      <c r="O36" s="436">
        <v>10</v>
      </c>
      <c r="P36" s="436">
        <f>SUM(Q36:Q36)</f>
        <v>10</v>
      </c>
      <c r="Q36" s="436">
        <v>10</v>
      </c>
      <c r="R36" s="436">
        <f>SUM(S36:T36)</f>
        <v>15</v>
      </c>
      <c r="S36" s="436">
        <v>15</v>
      </c>
      <c r="T36" s="436"/>
      <c r="U36" s="436">
        <f>SUM(V36:V36)</f>
        <v>10</v>
      </c>
      <c r="V36" s="436">
        <v>10</v>
      </c>
      <c r="W36" s="436">
        <f>SUM(X36:X36)</f>
        <v>15</v>
      </c>
      <c r="X36" s="436">
        <v>15</v>
      </c>
      <c r="Y36" s="436">
        <f>SUM(Z36:Z36)</f>
        <v>15</v>
      </c>
      <c r="Z36" s="436">
        <v>15</v>
      </c>
      <c r="AA36" s="436">
        <f>SUM(AB36:AB36)</f>
        <v>15</v>
      </c>
      <c r="AB36" s="436">
        <v>15</v>
      </c>
    </row>
    <row r="37" spans="1:29" s="286" customFormat="1" ht="17.25" customHeight="1">
      <c r="A37" s="284">
        <v>5</v>
      </c>
      <c r="B37" s="285" t="s">
        <v>359</v>
      </c>
      <c r="C37" s="435">
        <f>SUM(C38:C40)</f>
        <v>1119</v>
      </c>
      <c r="D37" s="435">
        <f t="shared" ref="D37:Z37" si="37">SUM(D38:D40)</f>
        <v>1119</v>
      </c>
      <c r="E37" s="435">
        <f t="shared" si="37"/>
        <v>0</v>
      </c>
      <c r="F37" s="435">
        <f t="shared" si="37"/>
        <v>144.708</v>
      </c>
      <c r="G37" s="435">
        <f t="shared" si="37"/>
        <v>144.708</v>
      </c>
      <c r="H37" s="435">
        <f t="shared" si="37"/>
        <v>127.55</v>
      </c>
      <c r="I37" s="435">
        <f t="shared" si="37"/>
        <v>127.55</v>
      </c>
      <c r="J37" s="435">
        <f t="shared" si="37"/>
        <v>94.591999999999999</v>
      </c>
      <c r="K37" s="435">
        <f t="shared" si="37"/>
        <v>94.591999999999999</v>
      </c>
      <c r="L37" s="435">
        <f t="shared" si="37"/>
        <v>65.55</v>
      </c>
      <c r="M37" s="435">
        <f t="shared" si="37"/>
        <v>65.55</v>
      </c>
      <c r="N37" s="435">
        <f t="shared" si="37"/>
        <v>66.2</v>
      </c>
      <c r="O37" s="435">
        <f t="shared" si="37"/>
        <v>66.2</v>
      </c>
      <c r="P37" s="435">
        <f t="shared" si="37"/>
        <v>71.650000000000006</v>
      </c>
      <c r="Q37" s="435">
        <f t="shared" si="37"/>
        <v>71.650000000000006</v>
      </c>
      <c r="R37" s="435">
        <f>SUM(R38:R40)</f>
        <v>127.5</v>
      </c>
      <c r="S37" s="435">
        <f t="shared" si="37"/>
        <v>127.5</v>
      </c>
      <c r="T37" s="435">
        <f t="shared" si="37"/>
        <v>0</v>
      </c>
      <c r="U37" s="435">
        <f t="shared" si="37"/>
        <v>63</v>
      </c>
      <c r="V37" s="435">
        <f t="shared" si="37"/>
        <v>63</v>
      </c>
      <c r="W37" s="435">
        <f t="shared" si="37"/>
        <v>122.3</v>
      </c>
      <c r="X37" s="435">
        <f t="shared" si="37"/>
        <v>122.3</v>
      </c>
      <c r="Y37" s="435">
        <f t="shared" si="37"/>
        <v>126.8</v>
      </c>
      <c r="Z37" s="435">
        <f t="shared" si="37"/>
        <v>126.8</v>
      </c>
      <c r="AA37" s="435">
        <f t="shared" ref="AA37:AB37" si="38">SUM(AA38:AA40)</f>
        <v>109.15</v>
      </c>
      <c r="AB37" s="435">
        <f t="shared" si="38"/>
        <v>109.15</v>
      </c>
    </row>
    <row r="38" spans="1:29" ht="17.25" customHeight="1">
      <c r="A38" s="292" t="s">
        <v>257</v>
      </c>
      <c r="B38" s="288" t="s">
        <v>623</v>
      </c>
      <c r="C38" s="436">
        <f t="shared" ref="C38:C59" si="39">SUM(D38:E38)</f>
        <v>24.341999999999999</v>
      </c>
      <c r="D38" s="436">
        <f t="shared" ref="D38:D59" si="40">G38+I38+K38+M38+O38+Q38+S38+V38+X38+Z38+AB38</f>
        <v>24.341999999999999</v>
      </c>
      <c r="E38" s="436">
        <f t="shared" si="36"/>
        <v>0</v>
      </c>
      <c r="F38" s="436">
        <f t="shared" ref="F38:F59" si="41">SUM(G38:G38)</f>
        <v>0</v>
      </c>
      <c r="G38" s="436"/>
      <c r="H38" s="436">
        <f t="shared" ref="H38:H59" si="42">SUM(I38:I38)</f>
        <v>0</v>
      </c>
      <c r="I38" s="436"/>
      <c r="J38" s="436">
        <f t="shared" ref="J38:J59" si="43">SUM(K38:K38)</f>
        <v>24.341999999999999</v>
      </c>
      <c r="K38" s="436">
        <v>24.341999999999999</v>
      </c>
      <c r="L38" s="436">
        <f t="shared" ref="L38:L59" si="44">SUM(M38:M38)</f>
        <v>0</v>
      </c>
      <c r="M38" s="436"/>
      <c r="N38" s="436">
        <f t="shared" ref="N38:N59" si="45">SUM(O38:O38)</f>
        <v>0</v>
      </c>
      <c r="O38" s="436"/>
      <c r="P38" s="436">
        <f t="shared" ref="P38:P59" si="46">SUM(Q38:Q38)</f>
        <v>0</v>
      </c>
      <c r="Q38" s="436"/>
      <c r="R38" s="436">
        <f t="shared" ref="R38:R59" si="47">SUM(S38:T38)</f>
        <v>0</v>
      </c>
      <c r="S38" s="436"/>
      <c r="T38" s="436"/>
      <c r="U38" s="436">
        <f t="shared" ref="U38:U59" si="48">SUM(V38:V38)</f>
        <v>0</v>
      </c>
      <c r="V38" s="436"/>
      <c r="W38" s="436">
        <f t="shared" ref="W38:W59" si="49">SUM(X38:X38)</f>
        <v>0</v>
      </c>
      <c r="X38" s="436"/>
      <c r="Y38" s="436">
        <f t="shared" ref="Y38:Y59" si="50">SUM(Z38:Z38)</f>
        <v>0</v>
      </c>
      <c r="Z38" s="436"/>
      <c r="AA38" s="436">
        <f t="shared" ref="AA38:AA59" si="51">SUM(AB38:AB38)</f>
        <v>0</v>
      </c>
      <c r="AB38" s="436"/>
    </row>
    <row r="39" spans="1:29" ht="16.5" customHeight="1">
      <c r="A39" s="292" t="s">
        <v>257</v>
      </c>
      <c r="B39" s="288" t="s">
        <v>624</v>
      </c>
      <c r="C39" s="436">
        <f t="shared" si="39"/>
        <v>850</v>
      </c>
      <c r="D39" s="436">
        <f t="shared" si="40"/>
        <v>850</v>
      </c>
      <c r="E39" s="436">
        <f t="shared" si="36"/>
        <v>0</v>
      </c>
      <c r="F39" s="436">
        <f t="shared" si="41"/>
        <v>100</v>
      </c>
      <c r="G39" s="436">
        <v>100</v>
      </c>
      <c r="H39" s="436">
        <f t="shared" si="42"/>
        <v>100</v>
      </c>
      <c r="I39" s="436">
        <v>100</v>
      </c>
      <c r="J39" s="436">
        <f t="shared" si="43"/>
        <v>50</v>
      </c>
      <c r="K39" s="436">
        <v>50</v>
      </c>
      <c r="L39" s="436">
        <f t="shared" si="44"/>
        <v>50</v>
      </c>
      <c r="M39" s="436">
        <v>50</v>
      </c>
      <c r="N39" s="436">
        <f t="shared" si="45"/>
        <v>50</v>
      </c>
      <c r="O39" s="436">
        <v>50</v>
      </c>
      <c r="P39" s="436">
        <f t="shared" si="46"/>
        <v>50</v>
      </c>
      <c r="Q39" s="436">
        <v>50</v>
      </c>
      <c r="R39" s="436">
        <f t="shared" si="47"/>
        <v>100</v>
      </c>
      <c r="S39" s="436">
        <v>100</v>
      </c>
      <c r="T39" s="436"/>
      <c r="U39" s="436">
        <f t="shared" si="48"/>
        <v>50</v>
      </c>
      <c r="V39" s="436">
        <v>50</v>
      </c>
      <c r="W39" s="436">
        <f t="shared" si="49"/>
        <v>100</v>
      </c>
      <c r="X39" s="436">
        <v>100</v>
      </c>
      <c r="Y39" s="436">
        <f t="shared" si="50"/>
        <v>100</v>
      </c>
      <c r="Z39" s="436">
        <v>100</v>
      </c>
      <c r="AA39" s="436">
        <f t="shared" si="51"/>
        <v>100</v>
      </c>
      <c r="AB39" s="436">
        <v>100</v>
      </c>
    </row>
    <row r="40" spans="1:29" ht="46.5" customHeight="1">
      <c r="A40" s="292" t="s">
        <v>257</v>
      </c>
      <c r="B40" s="291" t="s">
        <v>625</v>
      </c>
      <c r="C40" s="436">
        <f t="shared" si="39"/>
        <v>244.65800000000002</v>
      </c>
      <c r="D40" s="436">
        <f t="shared" si="40"/>
        <v>244.65800000000002</v>
      </c>
      <c r="E40" s="436">
        <f t="shared" si="36"/>
        <v>0</v>
      </c>
      <c r="F40" s="436">
        <f t="shared" si="41"/>
        <v>44.707999999999998</v>
      </c>
      <c r="G40" s="436">
        <v>44.707999999999998</v>
      </c>
      <c r="H40" s="436">
        <f t="shared" si="42"/>
        <v>27.55</v>
      </c>
      <c r="I40" s="436">
        <v>27.55</v>
      </c>
      <c r="J40" s="436">
        <f t="shared" si="43"/>
        <v>20.25</v>
      </c>
      <c r="K40" s="436">
        <v>20.25</v>
      </c>
      <c r="L40" s="436">
        <f t="shared" si="44"/>
        <v>15.55</v>
      </c>
      <c r="M40" s="436">
        <v>15.55</v>
      </c>
      <c r="N40" s="436">
        <f t="shared" si="45"/>
        <v>16.2</v>
      </c>
      <c r="O40" s="436">
        <v>16.2</v>
      </c>
      <c r="P40" s="436">
        <f t="shared" si="46"/>
        <v>21.65</v>
      </c>
      <c r="Q40" s="436">
        <v>21.65</v>
      </c>
      <c r="R40" s="436">
        <f t="shared" si="47"/>
        <v>27.5</v>
      </c>
      <c r="S40" s="436">
        <v>27.5</v>
      </c>
      <c r="T40" s="436"/>
      <c r="U40" s="436">
        <f t="shared" si="48"/>
        <v>13</v>
      </c>
      <c r="V40" s="436">
        <v>13</v>
      </c>
      <c r="W40" s="436">
        <f t="shared" si="49"/>
        <v>22.3</v>
      </c>
      <c r="X40" s="436">
        <v>22.3</v>
      </c>
      <c r="Y40" s="436">
        <f t="shared" si="50"/>
        <v>26.8</v>
      </c>
      <c r="Z40" s="436">
        <v>26.8</v>
      </c>
      <c r="AA40" s="436">
        <f t="shared" si="51"/>
        <v>9.15</v>
      </c>
      <c r="AB40" s="436">
        <v>9.15</v>
      </c>
    </row>
    <row r="41" spans="1:29" s="286" customFormat="1" ht="19.5" customHeight="1">
      <c r="A41" s="284">
        <v>6</v>
      </c>
      <c r="B41" s="285" t="s">
        <v>386</v>
      </c>
      <c r="C41" s="435">
        <f t="shared" si="39"/>
        <v>43532.750999999997</v>
      </c>
      <c r="D41" s="435">
        <f t="shared" si="40"/>
        <v>43532.750999999997</v>
      </c>
      <c r="E41" s="436">
        <f>T41</f>
        <v>0</v>
      </c>
      <c r="F41" s="435">
        <f t="shared" si="41"/>
        <v>3792.8449999999998</v>
      </c>
      <c r="G41" s="435">
        <v>3792.8449999999998</v>
      </c>
      <c r="H41" s="435">
        <f t="shared" si="42"/>
        <v>3940.08</v>
      </c>
      <c r="I41" s="435">
        <v>3940.08</v>
      </c>
      <c r="J41" s="435">
        <f t="shared" si="43"/>
        <v>3157.9760000000001</v>
      </c>
      <c r="K41" s="435">
        <v>3157.9760000000001</v>
      </c>
      <c r="L41" s="435">
        <f t="shared" si="44"/>
        <v>3300.614</v>
      </c>
      <c r="M41" s="435">
        <v>3300.614</v>
      </c>
      <c r="N41" s="435">
        <f t="shared" si="45"/>
        <v>3250.05</v>
      </c>
      <c r="O41" s="435">
        <v>3250.05</v>
      </c>
      <c r="P41" s="435">
        <f t="shared" si="46"/>
        <v>3733.9059999999999</v>
      </c>
      <c r="Q41" s="435">
        <v>3733.9059999999999</v>
      </c>
      <c r="R41" s="435">
        <f t="shared" si="47"/>
        <v>4387.3450000000003</v>
      </c>
      <c r="S41" s="435">
        <v>4387.3450000000003</v>
      </c>
      <c r="T41" s="435"/>
      <c r="U41" s="435">
        <f t="shared" si="48"/>
        <v>3611.5970000000002</v>
      </c>
      <c r="V41" s="435">
        <v>3611.5970000000002</v>
      </c>
      <c r="W41" s="435">
        <f t="shared" si="49"/>
        <v>4617.3389999999999</v>
      </c>
      <c r="X41" s="435">
        <v>4617.3389999999999</v>
      </c>
      <c r="Y41" s="435">
        <f t="shared" si="50"/>
        <v>4503.6790000000001</v>
      </c>
      <c r="Z41" s="435">
        <v>4503.6790000000001</v>
      </c>
      <c r="AA41" s="435">
        <f t="shared" si="51"/>
        <v>5237.32</v>
      </c>
      <c r="AB41" s="435">
        <v>5237.32</v>
      </c>
    </row>
    <row r="42" spans="1:29" ht="30" customHeight="1">
      <c r="A42" s="292"/>
      <c r="B42" s="291" t="s">
        <v>829</v>
      </c>
      <c r="C42" s="436">
        <f t="shared" si="39"/>
        <v>1239.0920000000001</v>
      </c>
      <c r="D42" s="436">
        <f t="shared" si="40"/>
        <v>1239.0920000000001</v>
      </c>
      <c r="E42" s="436">
        <f t="shared" si="36"/>
        <v>0</v>
      </c>
      <c r="F42" s="436">
        <f t="shared" si="41"/>
        <v>150.19200000000001</v>
      </c>
      <c r="G42" s="436">
        <v>150.19200000000001</v>
      </c>
      <c r="H42" s="436">
        <f t="shared" si="42"/>
        <v>112.64400000000001</v>
      </c>
      <c r="I42" s="436">
        <v>112.64400000000001</v>
      </c>
      <c r="J42" s="436">
        <f t="shared" si="43"/>
        <v>96.552000000000007</v>
      </c>
      <c r="K42" s="436">
        <v>96.552000000000007</v>
      </c>
      <c r="L42" s="436">
        <f t="shared" si="44"/>
        <v>112.64400000000001</v>
      </c>
      <c r="M42" s="436">
        <v>112.64400000000001</v>
      </c>
      <c r="N42" s="436">
        <f t="shared" si="45"/>
        <v>107.28</v>
      </c>
      <c r="O42" s="436">
        <v>107.28</v>
      </c>
      <c r="P42" s="436">
        <f t="shared" si="46"/>
        <v>101.916</v>
      </c>
      <c r="Q42" s="436">
        <v>101.916</v>
      </c>
      <c r="R42" s="436">
        <f t="shared" si="47"/>
        <v>118.008</v>
      </c>
      <c r="S42" s="436">
        <v>118.008</v>
      </c>
      <c r="T42" s="436"/>
      <c r="U42" s="436">
        <f t="shared" si="48"/>
        <v>80.468000000000004</v>
      </c>
      <c r="V42" s="436">
        <v>80.468000000000004</v>
      </c>
      <c r="W42" s="436">
        <f t="shared" si="49"/>
        <v>123.372</v>
      </c>
      <c r="X42" s="436">
        <v>123.372</v>
      </c>
      <c r="Y42" s="436">
        <f t="shared" si="50"/>
        <v>118.008</v>
      </c>
      <c r="Z42" s="436">
        <v>118.008</v>
      </c>
      <c r="AA42" s="436">
        <f t="shared" si="51"/>
        <v>118.008</v>
      </c>
      <c r="AB42" s="436">
        <v>118.008</v>
      </c>
      <c r="AC42" s="294"/>
    </row>
    <row r="43" spans="1:29" ht="21.75" customHeight="1">
      <c r="A43" s="292" t="s">
        <v>257</v>
      </c>
      <c r="B43" s="291" t="s">
        <v>566</v>
      </c>
      <c r="C43" s="436">
        <f t="shared" si="39"/>
        <v>22</v>
      </c>
      <c r="D43" s="436">
        <f t="shared" si="40"/>
        <v>22</v>
      </c>
      <c r="E43" s="436">
        <f t="shared" si="36"/>
        <v>0</v>
      </c>
      <c r="F43" s="436">
        <f t="shared" si="41"/>
        <v>2</v>
      </c>
      <c r="G43" s="436">
        <v>2</v>
      </c>
      <c r="H43" s="436">
        <f t="shared" si="42"/>
        <v>2</v>
      </c>
      <c r="I43" s="436">
        <v>2</v>
      </c>
      <c r="J43" s="436">
        <f t="shared" si="43"/>
        <v>2</v>
      </c>
      <c r="K43" s="436">
        <v>2</v>
      </c>
      <c r="L43" s="436">
        <f t="shared" si="44"/>
        <v>2</v>
      </c>
      <c r="M43" s="436">
        <v>2</v>
      </c>
      <c r="N43" s="436">
        <f t="shared" si="45"/>
        <v>2</v>
      </c>
      <c r="O43" s="436">
        <v>2</v>
      </c>
      <c r="P43" s="436">
        <f t="shared" si="46"/>
        <v>2</v>
      </c>
      <c r="Q43" s="436">
        <v>2</v>
      </c>
      <c r="R43" s="436">
        <f t="shared" si="47"/>
        <v>2</v>
      </c>
      <c r="S43" s="436">
        <v>2</v>
      </c>
      <c r="T43" s="436"/>
      <c r="U43" s="436">
        <f t="shared" si="48"/>
        <v>2</v>
      </c>
      <c r="V43" s="436">
        <v>2</v>
      </c>
      <c r="W43" s="436">
        <f t="shared" si="49"/>
        <v>2</v>
      </c>
      <c r="X43" s="436">
        <v>2</v>
      </c>
      <c r="Y43" s="436">
        <f t="shared" si="50"/>
        <v>2</v>
      </c>
      <c r="Z43" s="436">
        <v>2</v>
      </c>
      <c r="AA43" s="436">
        <f t="shared" si="51"/>
        <v>2</v>
      </c>
      <c r="AB43" s="436">
        <v>2</v>
      </c>
      <c r="AC43" s="295"/>
    </row>
    <row r="44" spans="1:29" s="297" customFormat="1" ht="27.75" customHeight="1">
      <c r="A44" s="296" t="s">
        <v>257</v>
      </c>
      <c r="B44" s="300" t="s">
        <v>626</v>
      </c>
      <c r="C44" s="439">
        <f t="shared" si="39"/>
        <v>7466.6880000000001</v>
      </c>
      <c r="D44" s="439">
        <f t="shared" si="40"/>
        <v>7466.6880000000001</v>
      </c>
      <c r="E44" s="436">
        <f t="shared" si="36"/>
        <v>0</v>
      </c>
      <c r="F44" s="439">
        <f t="shared" si="41"/>
        <v>781.35599999999999</v>
      </c>
      <c r="G44" s="439">
        <v>781.35599999999999</v>
      </c>
      <c r="H44" s="439">
        <f t="shared" si="42"/>
        <v>620.43600000000004</v>
      </c>
      <c r="I44" s="439">
        <v>620.43600000000004</v>
      </c>
      <c r="J44" s="439">
        <f t="shared" si="43"/>
        <v>441.63600000000002</v>
      </c>
      <c r="K44" s="439">
        <v>441.63600000000002</v>
      </c>
      <c r="L44" s="439">
        <f t="shared" si="44"/>
        <v>513.15599999999995</v>
      </c>
      <c r="M44" s="439">
        <v>513.15599999999995</v>
      </c>
      <c r="N44" s="439">
        <f t="shared" si="45"/>
        <v>459.51600000000002</v>
      </c>
      <c r="O44" s="439">
        <v>459.51600000000002</v>
      </c>
      <c r="P44" s="439">
        <f t="shared" si="46"/>
        <v>459.51600000000002</v>
      </c>
      <c r="Q44" s="439">
        <v>459.51600000000002</v>
      </c>
      <c r="R44" s="436">
        <f t="shared" si="47"/>
        <v>870.75599999999997</v>
      </c>
      <c r="S44" s="439">
        <v>870.75599999999997</v>
      </c>
      <c r="T44" s="439"/>
      <c r="U44" s="439">
        <f t="shared" si="48"/>
        <v>405.87599999999998</v>
      </c>
      <c r="V44" s="439">
        <v>405.87599999999998</v>
      </c>
      <c r="W44" s="439">
        <f t="shared" si="49"/>
        <v>911.88</v>
      </c>
      <c r="X44" s="439">
        <v>911.88</v>
      </c>
      <c r="Y44" s="439">
        <f t="shared" si="50"/>
        <v>822.48</v>
      </c>
      <c r="Z44" s="439">
        <v>822.48</v>
      </c>
      <c r="AA44" s="439">
        <f t="shared" si="51"/>
        <v>1180.08</v>
      </c>
      <c r="AB44" s="439">
        <v>1180.08</v>
      </c>
    </row>
    <row r="45" spans="1:29" ht="16.5" customHeight="1">
      <c r="A45" s="292"/>
      <c r="B45" s="291" t="s">
        <v>627</v>
      </c>
      <c r="C45" s="436">
        <f t="shared" si="39"/>
        <v>64</v>
      </c>
      <c r="D45" s="436">
        <f t="shared" si="40"/>
        <v>64</v>
      </c>
      <c r="E45" s="436">
        <f t="shared" si="36"/>
        <v>0</v>
      </c>
      <c r="F45" s="436">
        <f t="shared" si="41"/>
        <v>8</v>
      </c>
      <c r="G45" s="436">
        <v>8</v>
      </c>
      <c r="H45" s="436">
        <f t="shared" si="42"/>
        <v>7</v>
      </c>
      <c r="I45" s="436">
        <v>7</v>
      </c>
      <c r="J45" s="436">
        <f t="shared" si="43"/>
        <v>3</v>
      </c>
      <c r="K45" s="436">
        <v>3</v>
      </c>
      <c r="L45" s="436">
        <f t="shared" si="44"/>
        <v>5</v>
      </c>
      <c r="M45" s="436">
        <v>5</v>
      </c>
      <c r="N45" s="436">
        <f t="shared" si="45"/>
        <v>4</v>
      </c>
      <c r="O45" s="436">
        <v>4</v>
      </c>
      <c r="P45" s="436">
        <f t="shared" si="46"/>
        <v>4</v>
      </c>
      <c r="Q45" s="436">
        <v>4</v>
      </c>
      <c r="R45" s="436">
        <f t="shared" si="47"/>
        <v>7</v>
      </c>
      <c r="S45" s="436">
        <v>7</v>
      </c>
      <c r="T45" s="436"/>
      <c r="U45" s="436">
        <f t="shared" si="48"/>
        <v>3</v>
      </c>
      <c r="V45" s="436">
        <v>3</v>
      </c>
      <c r="W45" s="436">
        <f t="shared" si="49"/>
        <v>7</v>
      </c>
      <c r="X45" s="436">
        <v>7</v>
      </c>
      <c r="Y45" s="436">
        <f t="shared" si="50"/>
        <v>6</v>
      </c>
      <c r="Z45" s="436">
        <v>6</v>
      </c>
      <c r="AA45" s="436">
        <f t="shared" si="51"/>
        <v>10</v>
      </c>
      <c r="AB45" s="436">
        <v>10</v>
      </c>
    </row>
    <row r="46" spans="1:29" s="298" customFormat="1" ht="84.75" customHeight="1">
      <c r="A46" s="292" t="s">
        <v>257</v>
      </c>
      <c r="B46" s="291" t="s">
        <v>753</v>
      </c>
      <c r="C46" s="436">
        <f t="shared" si="39"/>
        <v>1280</v>
      </c>
      <c r="D46" s="436">
        <f t="shared" si="40"/>
        <v>1280</v>
      </c>
      <c r="E46" s="436">
        <f t="shared" si="36"/>
        <v>0</v>
      </c>
      <c r="F46" s="436">
        <f t="shared" si="41"/>
        <v>160</v>
      </c>
      <c r="G46" s="436">
        <f>20*8</f>
        <v>160</v>
      </c>
      <c r="H46" s="436">
        <f t="shared" si="42"/>
        <v>140</v>
      </c>
      <c r="I46" s="436">
        <f>20*7</f>
        <v>140</v>
      </c>
      <c r="J46" s="436">
        <f t="shared" si="43"/>
        <v>60</v>
      </c>
      <c r="K46" s="436">
        <f>20*3</f>
        <v>60</v>
      </c>
      <c r="L46" s="436">
        <f t="shared" si="44"/>
        <v>100</v>
      </c>
      <c r="M46" s="436">
        <f>20*5</f>
        <v>100</v>
      </c>
      <c r="N46" s="436">
        <f t="shared" si="45"/>
        <v>80</v>
      </c>
      <c r="O46" s="436">
        <f>20*4</f>
        <v>80</v>
      </c>
      <c r="P46" s="436">
        <f t="shared" si="46"/>
        <v>80</v>
      </c>
      <c r="Q46" s="436">
        <f>20*4</f>
        <v>80</v>
      </c>
      <c r="R46" s="436">
        <f t="shared" si="47"/>
        <v>140</v>
      </c>
      <c r="S46" s="436">
        <f>20*7</f>
        <v>140</v>
      </c>
      <c r="T46" s="436"/>
      <c r="U46" s="436">
        <f t="shared" si="48"/>
        <v>60</v>
      </c>
      <c r="V46" s="436">
        <f>20*3</f>
        <v>60</v>
      </c>
      <c r="W46" s="436">
        <f t="shared" si="49"/>
        <v>140</v>
      </c>
      <c r="X46" s="436">
        <f>20*7</f>
        <v>140</v>
      </c>
      <c r="Y46" s="436">
        <f t="shared" si="50"/>
        <v>120</v>
      </c>
      <c r="Z46" s="436">
        <f>20*6</f>
        <v>120</v>
      </c>
      <c r="AA46" s="436">
        <f t="shared" si="51"/>
        <v>200</v>
      </c>
      <c r="AB46" s="436">
        <f>20*10</f>
        <v>200</v>
      </c>
    </row>
    <row r="47" spans="1:29" s="297" customFormat="1" ht="18.75" customHeight="1">
      <c r="A47" s="296" t="s">
        <v>257</v>
      </c>
      <c r="B47" s="300" t="s">
        <v>754</v>
      </c>
      <c r="C47" s="439">
        <f t="shared" si="39"/>
        <v>139</v>
      </c>
      <c r="D47" s="439">
        <f t="shared" si="40"/>
        <v>139</v>
      </c>
      <c r="E47" s="436">
        <f t="shared" si="36"/>
        <v>0</v>
      </c>
      <c r="F47" s="439">
        <f t="shared" si="41"/>
        <v>16</v>
      </c>
      <c r="G47" s="439">
        <v>16</v>
      </c>
      <c r="H47" s="439">
        <f t="shared" si="42"/>
        <v>11</v>
      </c>
      <c r="I47" s="439">
        <v>11</v>
      </c>
      <c r="J47" s="439">
        <f t="shared" si="43"/>
        <v>6</v>
      </c>
      <c r="K47" s="439">
        <v>6</v>
      </c>
      <c r="L47" s="439">
        <f t="shared" si="44"/>
        <v>8</v>
      </c>
      <c r="M47" s="439">
        <v>8</v>
      </c>
      <c r="N47" s="439">
        <f t="shared" si="45"/>
        <v>6</v>
      </c>
      <c r="O47" s="439">
        <v>6</v>
      </c>
      <c r="P47" s="439">
        <f t="shared" si="46"/>
        <v>6</v>
      </c>
      <c r="Q47" s="439">
        <v>6</v>
      </c>
      <c r="R47" s="439">
        <f t="shared" si="47"/>
        <v>19</v>
      </c>
      <c r="S47" s="439">
        <v>19</v>
      </c>
      <c r="T47" s="439"/>
      <c r="U47" s="439">
        <f t="shared" si="48"/>
        <v>5</v>
      </c>
      <c r="V47" s="439">
        <v>5</v>
      </c>
      <c r="W47" s="439">
        <f t="shared" si="49"/>
        <v>19</v>
      </c>
      <c r="X47" s="439">
        <v>19</v>
      </c>
      <c r="Y47" s="439">
        <f t="shared" si="50"/>
        <v>16</v>
      </c>
      <c r="Z47" s="439">
        <v>16</v>
      </c>
      <c r="AA47" s="439">
        <f t="shared" si="51"/>
        <v>27</v>
      </c>
      <c r="AB47" s="439">
        <v>27</v>
      </c>
    </row>
    <row r="48" spans="1:29" ht="67.5" customHeight="1">
      <c r="A48" s="292" t="s">
        <v>257</v>
      </c>
      <c r="B48" s="291" t="s">
        <v>628</v>
      </c>
      <c r="C48" s="436">
        <f t="shared" si="39"/>
        <v>132</v>
      </c>
      <c r="D48" s="436">
        <f t="shared" si="40"/>
        <v>132</v>
      </c>
      <c r="E48" s="436">
        <f t="shared" si="36"/>
        <v>0</v>
      </c>
      <c r="F48" s="436">
        <f t="shared" si="41"/>
        <v>12</v>
      </c>
      <c r="G48" s="436">
        <v>12</v>
      </c>
      <c r="H48" s="436">
        <f t="shared" si="42"/>
        <v>12</v>
      </c>
      <c r="I48" s="436">
        <v>12</v>
      </c>
      <c r="J48" s="436">
        <f t="shared" si="43"/>
        <v>12</v>
      </c>
      <c r="K48" s="436">
        <v>12</v>
      </c>
      <c r="L48" s="436">
        <f t="shared" si="44"/>
        <v>12</v>
      </c>
      <c r="M48" s="436">
        <v>12</v>
      </c>
      <c r="N48" s="436">
        <f t="shared" si="45"/>
        <v>12</v>
      </c>
      <c r="O48" s="436">
        <v>12</v>
      </c>
      <c r="P48" s="436">
        <f t="shared" si="46"/>
        <v>12</v>
      </c>
      <c r="Q48" s="436">
        <v>12</v>
      </c>
      <c r="R48" s="436">
        <f t="shared" si="47"/>
        <v>12</v>
      </c>
      <c r="S48" s="436">
        <v>12</v>
      </c>
      <c r="T48" s="436"/>
      <c r="U48" s="436">
        <f t="shared" si="48"/>
        <v>12</v>
      </c>
      <c r="V48" s="436">
        <v>12</v>
      </c>
      <c r="W48" s="436">
        <f t="shared" si="49"/>
        <v>12</v>
      </c>
      <c r="X48" s="436">
        <v>12</v>
      </c>
      <c r="Y48" s="436">
        <f t="shared" si="50"/>
        <v>12</v>
      </c>
      <c r="Z48" s="436">
        <v>12</v>
      </c>
      <c r="AA48" s="436">
        <f t="shared" si="51"/>
        <v>12</v>
      </c>
      <c r="AB48" s="436">
        <v>12</v>
      </c>
    </row>
    <row r="49" spans="1:28" ht="30">
      <c r="A49" s="292" t="s">
        <v>257</v>
      </c>
      <c r="B49" s="291" t="s">
        <v>629</v>
      </c>
      <c r="C49" s="436">
        <f t="shared" si="39"/>
        <v>15</v>
      </c>
      <c r="D49" s="436">
        <f t="shared" si="40"/>
        <v>15</v>
      </c>
      <c r="E49" s="436">
        <f t="shared" si="36"/>
        <v>0</v>
      </c>
      <c r="F49" s="436">
        <f t="shared" si="41"/>
        <v>0</v>
      </c>
      <c r="G49" s="436"/>
      <c r="H49" s="436">
        <f t="shared" si="42"/>
        <v>0</v>
      </c>
      <c r="I49" s="436"/>
      <c r="J49" s="436">
        <f t="shared" si="43"/>
        <v>0</v>
      </c>
      <c r="K49" s="436"/>
      <c r="L49" s="436">
        <f t="shared" si="44"/>
        <v>0</v>
      </c>
      <c r="M49" s="436"/>
      <c r="N49" s="436">
        <f t="shared" si="45"/>
        <v>0</v>
      </c>
      <c r="O49" s="436"/>
      <c r="P49" s="436">
        <f t="shared" si="46"/>
        <v>15</v>
      </c>
      <c r="Q49" s="436">
        <v>15</v>
      </c>
      <c r="R49" s="436">
        <f t="shared" si="47"/>
        <v>0</v>
      </c>
      <c r="S49" s="436"/>
      <c r="T49" s="436"/>
      <c r="U49" s="436">
        <f t="shared" si="48"/>
        <v>0</v>
      </c>
      <c r="V49" s="436"/>
      <c r="W49" s="436">
        <f t="shared" si="49"/>
        <v>0</v>
      </c>
      <c r="X49" s="436"/>
      <c r="Y49" s="436">
        <f t="shared" si="50"/>
        <v>0</v>
      </c>
      <c r="Z49" s="436"/>
      <c r="AA49" s="436">
        <f t="shared" si="51"/>
        <v>0</v>
      </c>
      <c r="AB49" s="436"/>
    </row>
    <row r="50" spans="1:28" ht="32.25" customHeight="1">
      <c r="A50" s="292" t="s">
        <v>257</v>
      </c>
      <c r="B50" s="291" t="s">
        <v>630</v>
      </c>
      <c r="C50" s="436">
        <f t="shared" si="39"/>
        <v>100</v>
      </c>
      <c r="D50" s="436">
        <f t="shared" si="40"/>
        <v>100</v>
      </c>
      <c r="E50" s="436">
        <f t="shared" si="36"/>
        <v>0</v>
      </c>
      <c r="F50" s="436">
        <f t="shared" si="41"/>
        <v>0</v>
      </c>
      <c r="G50" s="436"/>
      <c r="H50" s="436">
        <f t="shared" si="42"/>
        <v>0</v>
      </c>
      <c r="I50" s="436"/>
      <c r="J50" s="436">
        <f t="shared" si="43"/>
        <v>0</v>
      </c>
      <c r="K50" s="436"/>
      <c r="L50" s="436">
        <f t="shared" si="44"/>
        <v>0</v>
      </c>
      <c r="M50" s="436"/>
      <c r="N50" s="436">
        <f t="shared" si="45"/>
        <v>0</v>
      </c>
      <c r="O50" s="436"/>
      <c r="P50" s="436">
        <f t="shared" si="46"/>
        <v>0</v>
      </c>
      <c r="Q50" s="436"/>
      <c r="R50" s="436">
        <f t="shared" si="47"/>
        <v>0</v>
      </c>
      <c r="S50" s="436"/>
      <c r="T50" s="436"/>
      <c r="U50" s="436">
        <f t="shared" si="48"/>
        <v>0</v>
      </c>
      <c r="V50" s="436"/>
      <c r="W50" s="436">
        <f t="shared" si="49"/>
        <v>50</v>
      </c>
      <c r="X50" s="436">
        <f>36+14</f>
        <v>50</v>
      </c>
      <c r="Y50" s="436">
        <f t="shared" si="50"/>
        <v>50</v>
      </c>
      <c r="Z50" s="436">
        <f>36+14</f>
        <v>50</v>
      </c>
      <c r="AA50" s="436">
        <f t="shared" si="51"/>
        <v>0</v>
      </c>
      <c r="AB50" s="436"/>
    </row>
    <row r="51" spans="1:28" ht="48.75" customHeight="1">
      <c r="A51" s="292" t="s">
        <v>257</v>
      </c>
      <c r="B51" s="299" t="s">
        <v>785</v>
      </c>
      <c r="C51" s="436">
        <f t="shared" si="39"/>
        <v>1100</v>
      </c>
      <c r="D51" s="436">
        <f t="shared" si="40"/>
        <v>1100</v>
      </c>
      <c r="E51" s="436">
        <f t="shared" si="36"/>
        <v>0</v>
      </c>
      <c r="F51" s="436">
        <f t="shared" si="41"/>
        <v>100</v>
      </c>
      <c r="G51" s="436">
        <v>100</v>
      </c>
      <c r="H51" s="436">
        <f t="shared" si="42"/>
        <v>100</v>
      </c>
      <c r="I51" s="436">
        <v>100</v>
      </c>
      <c r="J51" s="436">
        <f t="shared" si="43"/>
        <v>100</v>
      </c>
      <c r="K51" s="436">
        <v>100</v>
      </c>
      <c r="L51" s="436">
        <f t="shared" si="44"/>
        <v>100</v>
      </c>
      <c r="M51" s="436">
        <v>100</v>
      </c>
      <c r="N51" s="436">
        <f t="shared" si="45"/>
        <v>100</v>
      </c>
      <c r="O51" s="436">
        <v>100</v>
      </c>
      <c r="P51" s="436">
        <f t="shared" si="46"/>
        <v>100</v>
      </c>
      <c r="Q51" s="436">
        <f>100</f>
        <v>100</v>
      </c>
      <c r="R51" s="436">
        <f t="shared" si="47"/>
        <v>100</v>
      </c>
      <c r="S51" s="436">
        <v>100</v>
      </c>
      <c r="T51" s="436"/>
      <c r="U51" s="436">
        <f t="shared" si="48"/>
        <v>100</v>
      </c>
      <c r="V51" s="436">
        <v>100</v>
      </c>
      <c r="W51" s="436">
        <f t="shared" si="49"/>
        <v>100</v>
      </c>
      <c r="X51" s="436">
        <v>100</v>
      </c>
      <c r="Y51" s="436">
        <f t="shared" si="50"/>
        <v>100</v>
      </c>
      <c r="Z51" s="436">
        <v>100</v>
      </c>
      <c r="AA51" s="436">
        <f t="shared" si="51"/>
        <v>100</v>
      </c>
      <c r="AB51" s="436">
        <v>100</v>
      </c>
    </row>
    <row r="52" spans="1:28" ht="36.75" customHeight="1">
      <c r="A52" s="284" t="s">
        <v>257</v>
      </c>
      <c r="B52" s="291" t="s">
        <v>709</v>
      </c>
      <c r="C52" s="436">
        <f t="shared" si="39"/>
        <v>275</v>
      </c>
      <c r="D52" s="436">
        <f t="shared" si="40"/>
        <v>275</v>
      </c>
      <c r="E52" s="436">
        <f t="shared" si="36"/>
        <v>0</v>
      </c>
      <c r="F52" s="436">
        <f t="shared" si="41"/>
        <v>25</v>
      </c>
      <c r="G52" s="436">
        <v>25</v>
      </c>
      <c r="H52" s="436">
        <f t="shared" si="42"/>
        <v>25</v>
      </c>
      <c r="I52" s="436">
        <v>25</v>
      </c>
      <c r="J52" s="436">
        <f t="shared" si="43"/>
        <v>25</v>
      </c>
      <c r="K52" s="436">
        <v>25</v>
      </c>
      <c r="L52" s="436">
        <f t="shared" si="44"/>
        <v>25</v>
      </c>
      <c r="M52" s="436">
        <v>25</v>
      </c>
      <c r="N52" s="436">
        <f t="shared" si="45"/>
        <v>25</v>
      </c>
      <c r="O52" s="436">
        <v>25</v>
      </c>
      <c r="P52" s="436">
        <f t="shared" si="46"/>
        <v>25</v>
      </c>
      <c r="Q52" s="436">
        <v>25</v>
      </c>
      <c r="R52" s="436">
        <f t="shared" si="47"/>
        <v>25</v>
      </c>
      <c r="S52" s="436">
        <v>25</v>
      </c>
      <c r="T52" s="436"/>
      <c r="U52" s="436">
        <f t="shared" si="48"/>
        <v>25</v>
      </c>
      <c r="V52" s="436">
        <v>25</v>
      </c>
      <c r="W52" s="436">
        <f t="shared" si="49"/>
        <v>25</v>
      </c>
      <c r="X52" s="436">
        <v>25</v>
      </c>
      <c r="Y52" s="436">
        <f t="shared" si="50"/>
        <v>25</v>
      </c>
      <c r="Z52" s="436">
        <v>25</v>
      </c>
      <c r="AA52" s="436">
        <f t="shared" si="51"/>
        <v>25</v>
      </c>
      <c r="AB52" s="436">
        <v>25</v>
      </c>
    </row>
    <row r="53" spans="1:28" ht="18" customHeight="1">
      <c r="A53" s="292" t="s">
        <v>257</v>
      </c>
      <c r="B53" s="291" t="s">
        <v>606</v>
      </c>
      <c r="C53" s="436">
        <f t="shared" si="39"/>
        <v>847.51400000000001</v>
      </c>
      <c r="D53" s="436">
        <f t="shared" si="40"/>
        <v>847.51400000000001</v>
      </c>
      <c r="E53" s="436">
        <f t="shared" si="36"/>
        <v>0</v>
      </c>
      <c r="F53" s="436">
        <f t="shared" si="41"/>
        <v>80.459999999999994</v>
      </c>
      <c r="G53" s="436">
        <v>80.459999999999994</v>
      </c>
      <c r="H53" s="436">
        <f t="shared" si="42"/>
        <v>75.096000000000004</v>
      </c>
      <c r="I53" s="436">
        <v>75.096000000000004</v>
      </c>
      <c r="J53" s="436">
        <f t="shared" si="43"/>
        <v>75.096000000000004</v>
      </c>
      <c r="K53" s="436">
        <v>75.096000000000004</v>
      </c>
      <c r="L53" s="436">
        <f t="shared" si="44"/>
        <v>75.096000000000004</v>
      </c>
      <c r="M53" s="436">
        <v>75.096000000000004</v>
      </c>
      <c r="N53" s="436">
        <f t="shared" si="45"/>
        <v>69.73</v>
      </c>
      <c r="O53" s="436">
        <v>69.73</v>
      </c>
      <c r="P53" s="436">
        <f t="shared" si="46"/>
        <v>80.459999999999994</v>
      </c>
      <c r="Q53" s="436">
        <v>80.459999999999994</v>
      </c>
      <c r="R53" s="436">
        <f t="shared" si="47"/>
        <v>75.096000000000004</v>
      </c>
      <c r="S53" s="436">
        <v>75.096000000000004</v>
      </c>
      <c r="T53" s="436"/>
      <c r="U53" s="436">
        <f t="shared" si="48"/>
        <v>75.099999999999994</v>
      </c>
      <c r="V53" s="436">
        <v>75.099999999999994</v>
      </c>
      <c r="W53" s="436">
        <f t="shared" si="49"/>
        <v>75.096000000000004</v>
      </c>
      <c r="X53" s="436">
        <v>75.096000000000004</v>
      </c>
      <c r="Y53" s="436">
        <f t="shared" si="50"/>
        <v>85.823999999999998</v>
      </c>
      <c r="Z53" s="436">
        <v>85.823999999999998</v>
      </c>
      <c r="AA53" s="436">
        <f t="shared" si="51"/>
        <v>80.459999999999994</v>
      </c>
      <c r="AB53" s="436">
        <v>80.459999999999994</v>
      </c>
    </row>
    <row r="54" spans="1:28" ht="33.75" customHeight="1">
      <c r="A54" s="292" t="s">
        <v>257</v>
      </c>
      <c r="B54" s="291" t="s">
        <v>607</v>
      </c>
      <c r="C54" s="436">
        <f t="shared" si="39"/>
        <v>846.88800000000003</v>
      </c>
      <c r="D54" s="436">
        <f t="shared" si="40"/>
        <v>846.88800000000003</v>
      </c>
      <c r="E54" s="436">
        <f t="shared" si="36"/>
        <v>0</v>
      </c>
      <c r="F54" s="436">
        <f t="shared" si="41"/>
        <v>103.70400000000001</v>
      </c>
      <c r="G54" s="436">
        <f>(0.2*1.49*228)+(8*3*1.49)</f>
        <v>103.70400000000001</v>
      </c>
      <c r="H54" s="436">
        <f t="shared" si="42"/>
        <v>78.224999999999994</v>
      </c>
      <c r="I54" s="436">
        <f>(0.3*1.49*105)+(7*3*1.49)</f>
        <v>78.224999999999994</v>
      </c>
      <c r="J54" s="436">
        <f t="shared" si="43"/>
        <v>50.957999999999998</v>
      </c>
      <c r="K54" s="436">
        <f>(0.4*1.49*63)+(3*3*1.49)</f>
        <v>50.957999999999998</v>
      </c>
      <c r="L54" s="436">
        <f t="shared" si="44"/>
        <v>59.618000000000002</v>
      </c>
      <c r="M54" s="436">
        <f>0.4*1.21*77+(5*3*1.49)</f>
        <v>59.618000000000002</v>
      </c>
      <c r="N54" s="436">
        <f t="shared" si="45"/>
        <v>59.599999999999994</v>
      </c>
      <c r="O54" s="436">
        <f>0.4*1.49*70+(4*3*1.49)</f>
        <v>59.599999999999994</v>
      </c>
      <c r="P54" s="436">
        <f t="shared" si="46"/>
        <v>61.983999999999995</v>
      </c>
      <c r="Q54" s="436">
        <f>0.4*1.49*74+(4*3*1.49)</f>
        <v>61.983999999999995</v>
      </c>
      <c r="R54" s="436">
        <f t="shared" si="47"/>
        <v>100.57499999999999</v>
      </c>
      <c r="S54" s="436">
        <f>0.3*1.49*155+(7*3*1.49)</f>
        <v>100.57499999999999</v>
      </c>
      <c r="T54" s="436"/>
      <c r="U54" s="436">
        <f t="shared" si="48"/>
        <v>52.997999999999998</v>
      </c>
      <c r="V54" s="436">
        <f>0.4*1.21*87+(3*3*1.21)</f>
        <v>52.997999999999998</v>
      </c>
      <c r="W54" s="436">
        <f t="shared" si="49"/>
        <v>80.757999999999996</v>
      </c>
      <c r="X54" s="436">
        <f>0.4*1.49*83+(7*3*1.49)</f>
        <v>80.757999999999996</v>
      </c>
      <c r="Y54" s="436">
        <f t="shared" si="50"/>
        <v>85.37700000000001</v>
      </c>
      <c r="Z54" s="436">
        <f>0.3*1.49*131+(6*3*1.49)</f>
        <v>85.37700000000001</v>
      </c>
      <c r="AA54" s="436">
        <f t="shared" si="51"/>
        <v>113.09100000000001</v>
      </c>
      <c r="AB54" s="436">
        <f>0.3*1.49*153+(10*3*1.49)</f>
        <v>113.09100000000001</v>
      </c>
    </row>
    <row r="55" spans="1:28" s="297" customFormat="1" ht="36.75" customHeight="1">
      <c r="A55" s="296" t="s">
        <v>257</v>
      </c>
      <c r="B55" s="300" t="s">
        <v>632</v>
      </c>
      <c r="C55" s="439">
        <f t="shared" si="39"/>
        <v>700</v>
      </c>
      <c r="D55" s="439">
        <f t="shared" si="40"/>
        <v>700</v>
      </c>
      <c r="E55" s="436">
        <f t="shared" si="36"/>
        <v>0</v>
      </c>
      <c r="F55" s="439">
        <f t="shared" si="41"/>
        <v>0</v>
      </c>
      <c r="G55" s="439"/>
      <c r="H55" s="439">
        <f t="shared" si="42"/>
        <v>100</v>
      </c>
      <c r="I55" s="439">
        <v>100</v>
      </c>
      <c r="J55" s="439">
        <f t="shared" si="43"/>
        <v>100</v>
      </c>
      <c r="K55" s="439">
        <v>100</v>
      </c>
      <c r="L55" s="439">
        <f t="shared" si="44"/>
        <v>0</v>
      </c>
      <c r="M55" s="439"/>
      <c r="N55" s="439">
        <f t="shared" si="45"/>
        <v>0</v>
      </c>
      <c r="O55" s="439"/>
      <c r="P55" s="439">
        <f t="shared" si="46"/>
        <v>100</v>
      </c>
      <c r="Q55" s="439">
        <v>100</v>
      </c>
      <c r="R55" s="439">
        <f t="shared" si="47"/>
        <v>100</v>
      </c>
      <c r="S55" s="439">
        <v>100</v>
      </c>
      <c r="T55" s="439"/>
      <c r="U55" s="439">
        <f t="shared" si="48"/>
        <v>100</v>
      </c>
      <c r="V55" s="439">
        <v>100</v>
      </c>
      <c r="W55" s="439">
        <f t="shared" si="49"/>
        <v>100</v>
      </c>
      <c r="X55" s="439">
        <v>100</v>
      </c>
      <c r="Y55" s="439">
        <f t="shared" si="50"/>
        <v>100</v>
      </c>
      <c r="Z55" s="439">
        <v>100</v>
      </c>
      <c r="AA55" s="439">
        <f t="shared" si="51"/>
        <v>0</v>
      </c>
      <c r="AB55" s="439"/>
    </row>
    <row r="56" spans="1:28" ht="36.75" customHeight="1">
      <c r="A56" s="287" t="s">
        <v>257</v>
      </c>
      <c r="B56" s="291" t="s">
        <v>633</v>
      </c>
      <c r="C56" s="436">
        <f t="shared" si="39"/>
        <v>623</v>
      </c>
      <c r="D56" s="436">
        <f t="shared" si="40"/>
        <v>623</v>
      </c>
      <c r="E56" s="436">
        <f t="shared" si="36"/>
        <v>0</v>
      </c>
      <c r="F56" s="436">
        <f t="shared" si="41"/>
        <v>63</v>
      </c>
      <c r="G56" s="436">
        <f>(20+(5*8)+3)</f>
        <v>63</v>
      </c>
      <c r="H56" s="436">
        <f t="shared" si="42"/>
        <v>67</v>
      </c>
      <c r="I56" s="436">
        <f>25+(6*7)</f>
        <v>67</v>
      </c>
      <c r="J56" s="436">
        <f t="shared" si="43"/>
        <v>36</v>
      </c>
      <c r="K56" s="436">
        <f>20+(5*3)+1</f>
        <v>36</v>
      </c>
      <c r="L56" s="436">
        <f t="shared" si="44"/>
        <v>45</v>
      </c>
      <c r="M56" s="436">
        <f>20+(5*5)</f>
        <v>45</v>
      </c>
      <c r="N56" s="436">
        <f t="shared" si="45"/>
        <v>40</v>
      </c>
      <c r="O56" s="436">
        <f>20+(5*4)</f>
        <v>40</v>
      </c>
      <c r="P56" s="436">
        <f t="shared" si="46"/>
        <v>49</v>
      </c>
      <c r="Q56" s="436">
        <f>25+(6*4)</f>
        <v>49</v>
      </c>
      <c r="R56" s="436">
        <f t="shared" si="47"/>
        <v>67</v>
      </c>
      <c r="S56" s="436">
        <f>25+(6*7)-T56</f>
        <v>67</v>
      </c>
      <c r="T56" s="436"/>
      <c r="U56" s="436">
        <f t="shared" si="48"/>
        <v>43</v>
      </c>
      <c r="V56" s="436">
        <f>25+(6*3)</f>
        <v>43</v>
      </c>
      <c r="W56" s="436">
        <f t="shared" si="49"/>
        <v>67</v>
      </c>
      <c r="X56" s="436">
        <f>25+(6*7)</f>
        <v>67</v>
      </c>
      <c r="Y56" s="436">
        <f t="shared" si="50"/>
        <v>61</v>
      </c>
      <c r="Z56" s="436">
        <f>25+(6*6)</f>
        <v>61</v>
      </c>
      <c r="AA56" s="436">
        <f t="shared" si="51"/>
        <v>85</v>
      </c>
      <c r="AB56" s="436">
        <f>25+(6*10)</f>
        <v>85</v>
      </c>
    </row>
    <row r="57" spans="1:28" ht="36.75" customHeight="1">
      <c r="A57" s="287" t="s">
        <v>257</v>
      </c>
      <c r="B57" s="291" t="s">
        <v>713</v>
      </c>
      <c r="C57" s="436">
        <f t="shared" si="39"/>
        <v>250</v>
      </c>
      <c r="D57" s="436">
        <f t="shared" si="40"/>
        <v>250</v>
      </c>
      <c r="E57" s="436">
        <f t="shared" si="36"/>
        <v>0</v>
      </c>
      <c r="F57" s="436">
        <f t="shared" si="41"/>
        <v>25</v>
      </c>
      <c r="G57" s="436">
        <v>25</v>
      </c>
      <c r="H57" s="436">
        <f t="shared" si="42"/>
        <v>25</v>
      </c>
      <c r="I57" s="436">
        <v>25</v>
      </c>
      <c r="J57" s="436">
        <f t="shared" si="43"/>
        <v>20</v>
      </c>
      <c r="K57" s="436">
        <v>20</v>
      </c>
      <c r="L57" s="436">
        <f t="shared" si="44"/>
        <v>20</v>
      </c>
      <c r="M57" s="436">
        <v>20</v>
      </c>
      <c r="N57" s="436">
        <f t="shared" si="45"/>
        <v>20</v>
      </c>
      <c r="O57" s="436">
        <v>20</v>
      </c>
      <c r="P57" s="436">
        <f t="shared" si="46"/>
        <v>20</v>
      </c>
      <c r="Q57" s="436">
        <v>20</v>
      </c>
      <c r="R57" s="436">
        <f t="shared" si="47"/>
        <v>25</v>
      </c>
      <c r="S57" s="436">
        <v>25</v>
      </c>
      <c r="T57" s="436"/>
      <c r="U57" s="436">
        <f t="shared" si="48"/>
        <v>20</v>
      </c>
      <c r="V57" s="436">
        <v>20</v>
      </c>
      <c r="W57" s="436">
        <f t="shared" si="49"/>
        <v>25</v>
      </c>
      <c r="X57" s="436">
        <v>25</v>
      </c>
      <c r="Y57" s="436">
        <f t="shared" si="50"/>
        <v>25</v>
      </c>
      <c r="Z57" s="436">
        <v>25</v>
      </c>
      <c r="AA57" s="436">
        <f t="shared" si="51"/>
        <v>25</v>
      </c>
      <c r="AB57" s="436">
        <v>25</v>
      </c>
    </row>
    <row r="58" spans="1:28" s="297" customFormat="1" ht="32.25" customHeight="1">
      <c r="A58" s="287" t="s">
        <v>257</v>
      </c>
      <c r="B58" s="332" t="s">
        <v>697</v>
      </c>
      <c r="C58" s="439">
        <f t="shared" si="39"/>
        <v>165</v>
      </c>
      <c r="D58" s="439">
        <f t="shared" si="40"/>
        <v>165</v>
      </c>
      <c r="E58" s="436">
        <f t="shared" si="36"/>
        <v>0</v>
      </c>
      <c r="F58" s="439">
        <f t="shared" si="41"/>
        <v>15</v>
      </c>
      <c r="G58" s="439">
        <v>15</v>
      </c>
      <c r="H58" s="439">
        <f t="shared" si="42"/>
        <v>15</v>
      </c>
      <c r="I58" s="439">
        <v>15</v>
      </c>
      <c r="J58" s="439">
        <f t="shared" si="43"/>
        <v>15</v>
      </c>
      <c r="K58" s="439">
        <v>15</v>
      </c>
      <c r="L58" s="439">
        <f t="shared" si="44"/>
        <v>15</v>
      </c>
      <c r="M58" s="439">
        <v>15</v>
      </c>
      <c r="N58" s="439">
        <f t="shared" si="45"/>
        <v>15</v>
      </c>
      <c r="O58" s="439">
        <v>15</v>
      </c>
      <c r="P58" s="439">
        <f t="shared" si="46"/>
        <v>15</v>
      </c>
      <c r="Q58" s="439">
        <v>15</v>
      </c>
      <c r="R58" s="439">
        <f t="shared" si="47"/>
        <v>15</v>
      </c>
      <c r="S58" s="439">
        <v>15</v>
      </c>
      <c r="T58" s="439"/>
      <c r="U58" s="439">
        <f t="shared" si="48"/>
        <v>15</v>
      </c>
      <c r="V58" s="439">
        <v>15</v>
      </c>
      <c r="W58" s="439">
        <f t="shared" si="49"/>
        <v>15</v>
      </c>
      <c r="X58" s="439">
        <v>15</v>
      </c>
      <c r="Y58" s="439">
        <f t="shared" si="50"/>
        <v>15</v>
      </c>
      <c r="Z58" s="439">
        <v>15</v>
      </c>
      <c r="AA58" s="439">
        <f t="shared" si="51"/>
        <v>15</v>
      </c>
      <c r="AB58" s="439">
        <v>15</v>
      </c>
    </row>
    <row r="59" spans="1:28" ht="19.5" customHeight="1">
      <c r="A59" s="287" t="s">
        <v>257</v>
      </c>
      <c r="B59" s="291" t="s">
        <v>634</v>
      </c>
      <c r="C59" s="436">
        <f t="shared" si="39"/>
        <v>330</v>
      </c>
      <c r="D59" s="436">
        <f t="shared" si="40"/>
        <v>330</v>
      </c>
      <c r="E59" s="436">
        <f t="shared" si="36"/>
        <v>0</v>
      </c>
      <c r="F59" s="436">
        <f t="shared" si="41"/>
        <v>0</v>
      </c>
      <c r="G59" s="436"/>
      <c r="H59" s="436">
        <f t="shared" si="42"/>
        <v>52.5</v>
      </c>
      <c r="I59" s="436">
        <f>7*5*1.5</f>
        <v>52.5</v>
      </c>
      <c r="J59" s="436">
        <f t="shared" si="43"/>
        <v>0</v>
      </c>
      <c r="K59" s="436"/>
      <c r="L59" s="436">
        <f t="shared" si="44"/>
        <v>0</v>
      </c>
      <c r="M59" s="436"/>
      <c r="N59" s="436">
        <f t="shared" si="45"/>
        <v>0</v>
      </c>
      <c r="O59" s="436"/>
      <c r="P59" s="436">
        <f t="shared" si="46"/>
        <v>30</v>
      </c>
      <c r="Q59" s="436">
        <f>5*4*1.5</f>
        <v>30</v>
      </c>
      <c r="R59" s="436">
        <f t="shared" si="47"/>
        <v>52.5</v>
      </c>
      <c r="S59" s="436">
        <f>7*5*1.5</f>
        <v>52.5</v>
      </c>
      <c r="T59" s="436"/>
      <c r="U59" s="436">
        <f t="shared" si="48"/>
        <v>22.5</v>
      </c>
      <c r="V59" s="436">
        <f>3*5*1.5</f>
        <v>22.5</v>
      </c>
      <c r="W59" s="436">
        <f t="shared" si="49"/>
        <v>52.5</v>
      </c>
      <c r="X59" s="436">
        <f>7*5*1.5</f>
        <v>52.5</v>
      </c>
      <c r="Y59" s="436">
        <f t="shared" si="50"/>
        <v>45</v>
      </c>
      <c r="Z59" s="436">
        <f>6*5*1.5</f>
        <v>45</v>
      </c>
      <c r="AA59" s="436">
        <f t="shared" si="51"/>
        <v>75</v>
      </c>
      <c r="AB59" s="436">
        <f>10*5*1.5</f>
        <v>75</v>
      </c>
    </row>
    <row r="60" spans="1:28" s="286" customFormat="1" ht="18" customHeight="1">
      <c r="A60" s="284">
        <v>7</v>
      </c>
      <c r="B60" s="285" t="s">
        <v>635</v>
      </c>
      <c r="C60" s="435">
        <f>C61+C65</f>
        <v>7021.2290000000003</v>
      </c>
      <c r="D60" s="435">
        <f t="shared" ref="D60:Z60" si="52">D61+D65</f>
        <v>7021.2290000000003</v>
      </c>
      <c r="E60" s="435">
        <f t="shared" si="52"/>
        <v>0</v>
      </c>
      <c r="F60" s="435">
        <f t="shared" si="52"/>
        <v>459.68599999999998</v>
      </c>
      <c r="G60" s="435">
        <f t="shared" si="52"/>
        <v>459.68599999999998</v>
      </c>
      <c r="H60" s="435">
        <f t="shared" si="52"/>
        <v>362.11599999999999</v>
      </c>
      <c r="I60" s="435">
        <f t="shared" si="52"/>
        <v>362.11599999999999</v>
      </c>
      <c r="J60" s="435">
        <f t="shared" si="52"/>
        <v>295.49799999999999</v>
      </c>
      <c r="K60" s="435">
        <f t="shared" si="52"/>
        <v>295.49799999999999</v>
      </c>
      <c r="L60" s="435">
        <f t="shared" si="52"/>
        <v>315.69499999999999</v>
      </c>
      <c r="M60" s="435">
        <f t="shared" si="52"/>
        <v>315.69499999999999</v>
      </c>
      <c r="N60" s="435">
        <f t="shared" si="52"/>
        <v>302.54999999999995</v>
      </c>
      <c r="O60" s="435">
        <f t="shared" si="52"/>
        <v>302.54999999999995</v>
      </c>
      <c r="P60" s="435">
        <f t="shared" si="52"/>
        <v>338.19899999999996</v>
      </c>
      <c r="Q60" s="435">
        <f t="shared" si="52"/>
        <v>338.19899999999996</v>
      </c>
      <c r="R60" s="435">
        <f t="shared" si="52"/>
        <v>1131.7980000000002</v>
      </c>
      <c r="S60" s="435">
        <f t="shared" si="52"/>
        <v>1131.7980000000002</v>
      </c>
      <c r="T60" s="435">
        <f t="shared" si="52"/>
        <v>0</v>
      </c>
      <c r="U60" s="435">
        <f t="shared" si="52"/>
        <v>284.56000000000006</v>
      </c>
      <c r="V60" s="435">
        <f t="shared" si="52"/>
        <v>284.56000000000006</v>
      </c>
      <c r="W60" s="435">
        <f t="shared" si="52"/>
        <v>1139.1469999999999</v>
      </c>
      <c r="X60" s="435">
        <f t="shared" si="52"/>
        <v>1139.1469999999999</v>
      </c>
      <c r="Y60" s="435">
        <f t="shared" si="52"/>
        <v>1151.8020000000001</v>
      </c>
      <c r="Z60" s="435">
        <f t="shared" si="52"/>
        <v>1151.8020000000001</v>
      </c>
      <c r="AA60" s="435">
        <f t="shared" ref="AA60" si="53">AA61+AA65</f>
        <v>1240.1780000000001</v>
      </c>
      <c r="AB60" s="435">
        <f>AB61+AB65</f>
        <v>1240.1780000000001</v>
      </c>
    </row>
    <row r="61" spans="1:28" s="286" customFormat="1" ht="18" customHeight="1">
      <c r="A61" s="284" t="s">
        <v>204</v>
      </c>
      <c r="B61" s="285" t="s">
        <v>636</v>
      </c>
      <c r="C61" s="435">
        <f>SUM(C62:C64)</f>
        <v>1130</v>
      </c>
      <c r="D61" s="435">
        <f t="shared" ref="D61:Z61" si="54">SUM(D62:D64)</f>
        <v>1130</v>
      </c>
      <c r="E61" s="435">
        <f t="shared" si="54"/>
        <v>0</v>
      </c>
      <c r="F61" s="435">
        <f t="shared" si="54"/>
        <v>80</v>
      </c>
      <c r="G61" s="435">
        <f t="shared" si="54"/>
        <v>80</v>
      </c>
      <c r="H61" s="435">
        <f t="shared" si="54"/>
        <v>80</v>
      </c>
      <c r="I61" s="435">
        <f t="shared" si="54"/>
        <v>80</v>
      </c>
      <c r="J61" s="435">
        <f t="shared" si="54"/>
        <v>50</v>
      </c>
      <c r="K61" s="435">
        <f t="shared" si="54"/>
        <v>50</v>
      </c>
      <c r="L61" s="435">
        <f t="shared" si="54"/>
        <v>50</v>
      </c>
      <c r="M61" s="435">
        <f t="shared" si="54"/>
        <v>50</v>
      </c>
      <c r="N61" s="435">
        <f t="shared" si="54"/>
        <v>50</v>
      </c>
      <c r="O61" s="435">
        <f t="shared" si="54"/>
        <v>50</v>
      </c>
      <c r="P61" s="435">
        <f t="shared" si="54"/>
        <v>50</v>
      </c>
      <c r="Q61" s="435">
        <f t="shared" si="54"/>
        <v>50</v>
      </c>
      <c r="R61" s="435">
        <f t="shared" si="54"/>
        <v>180</v>
      </c>
      <c r="S61" s="435">
        <f t="shared" si="54"/>
        <v>180</v>
      </c>
      <c r="T61" s="435">
        <f t="shared" si="54"/>
        <v>0</v>
      </c>
      <c r="U61" s="435">
        <f t="shared" si="54"/>
        <v>50</v>
      </c>
      <c r="V61" s="435">
        <f t="shared" si="54"/>
        <v>50</v>
      </c>
      <c r="W61" s="435">
        <f t="shared" si="54"/>
        <v>180</v>
      </c>
      <c r="X61" s="435">
        <f t="shared" si="54"/>
        <v>180</v>
      </c>
      <c r="Y61" s="435">
        <f t="shared" si="54"/>
        <v>180</v>
      </c>
      <c r="Z61" s="435">
        <f t="shared" si="54"/>
        <v>180</v>
      </c>
      <c r="AA61" s="435">
        <f t="shared" ref="AA61" si="55">SUM(AA62:AA64)</f>
        <v>180</v>
      </c>
      <c r="AB61" s="435">
        <f>SUM(AB62:AB64)</f>
        <v>180</v>
      </c>
    </row>
    <row r="62" spans="1:28" ht="36.75" customHeight="1">
      <c r="A62" s="284" t="s">
        <v>257</v>
      </c>
      <c r="B62" s="291" t="s">
        <v>747</v>
      </c>
      <c r="C62" s="436">
        <f>SUM(D62:E62)</f>
        <v>1130</v>
      </c>
      <c r="D62" s="436">
        <f>G62+I62+K62+M62+O62+Q62+S62+V62+X62+Z62+AB62</f>
        <v>1130</v>
      </c>
      <c r="E62" s="436">
        <f t="shared" ref="E62:E64" si="56">+T62</f>
        <v>0</v>
      </c>
      <c r="F62" s="436">
        <f>SUM(G62:G62)</f>
        <v>80</v>
      </c>
      <c r="G62" s="436">
        <v>80</v>
      </c>
      <c r="H62" s="436">
        <f>SUM(I62:I62)</f>
        <v>80</v>
      </c>
      <c r="I62" s="436">
        <v>80</v>
      </c>
      <c r="J62" s="436">
        <f>SUM(K62:K62)</f>
        <v>50</v>
      </c>
      <c r="K62" s="436">
        <v>50</v>
      </c>
      <c r="L62" s="436">
        <f>SUM(M62:M62)</f>
        <v>50</v>
      </c>
      <c r="M62" s="436">
        <v>50</v>
      </c>
      <c r="N62" s="436">
        <f>SUM(O62:O62)</f>
        <v>50</v>
      </c>
      <c r="O62" s="436">
        <v>50</v>
      </c>
      <c r="P62" s="436">
        <f>SUM(Q62:Q62)</f>
        <v>50</v>
      </c>
      <c r="Q62" s="436">
        <v>50</v>
      </c>
      <c r="R62" s="436">
        <f>SUM(S62:T62)</f>
        <v>180</v>
      </c>
      <c r="S62" s="436">
        <v>180</v>
      </c>
      <c r="T62" s="436"/>
      <c r="U62" s="436">
        <f>SUM(V62:V62)</f>
        <v>50</v>
      </c>
      <c r="V62" s="436">
        <v>50</v>
      </c>
      <c r="W62" s="436">
        <f>SUM(X62:X62)</f>
        <v>180</v>
      </c>
      <c r="X62" s="436">
        <v>180</v>
      </c>
      <c r="Y62" s="436">
        <f>SUM(Z62:Z62)</f>
        <v>180</v>
      </c>
      <c r="Z62" s="436">
        <v>180</v>
      </c>
      <c r="AA62" s="436">
        <f>SUM(AB62:AB62)</f>
        <v>180</v>
      </c>
      <c r="AB62" s="436">
        <v>180</v>
      </c>
    </row>
    <row r="63" spans="1:28" ht="36" hidden="1" customHeight="1">
      <c r="A63" s="287" t="s">
        <v>257</v>
      </c>
      <c r="B63" s="291" t="s">
        <v>681</v>
      </c>
      <c r="C63" s="436">
        <f>SUM(D63:E63)</f>
        <v>0</v>
      </c>
      <c r="D63" s="436">
        <f>G63+I63+K63+M63+O63+Q63+S63+V63+X63+Z63+AB63</f>
        <v>0</v>
      </c>
      <c r="E63" s="436">
        <f t="shared" si="56"/>
        <v>0</v>
      </c>
      <c r="F63" s="436">
        <f>SUM(G63:G63)</f>
        <v>0</v>
      </c>
      <c r="G63" s="436"/>
      <c r="H63" s="436">
        <f>SUM(I63:I63)</f>
        <v>0</v>
      </c>
      <c r="I63" s="436"/>
      <c r="J63" s="436">
        <f>SUM(K63:K63)</f>
        <v>0</v>
      </c>
      <c r="K63" s="436"/>
      <c r="L63" s="436">
        <f>SUM(M63:M63)</f>
        <v>0</v>
      </c>
      <c r="M63" s="436"/>
      <c r="N63" s="436">
        <f>SUM(O63:O63)</f>
        <v>0</v>
      </c>
      <c r="O63" s="436"/>
      <c r="P63" s="436">
        <f>SUM(Q63:Q63)</f>
        <v>0</v>
      </c>
      <c r="Q63" s="436"/>
      <c r="R63" s="436">
        <f>SUM(S63:T63)</f>
        <v>0</v>
      </c>
      <c r="S63" s="436"/>
      <c r="T63" s="436"/>
      <c r="U63" s="436">
        <f>SUM(V63:V63)</f>
        <v>0</v>
      </c>
      <c r="V63" s="436"/>
      <c r="W63" s="436">
        <f>SUM(X63:X63)</f>
        <v>0</v>
      </c>
      <c r="X63" s="436"/>
      <c r="Y63" s="436">
        <f>SUM(Z63:Z63)</f>
        <v>0</v>
      </c>
      <c r="Z63" s="436"/>
      <c r="AA63" s="436">
        <f>SUM(AB63:AB63)</f>
        <v>0</v>
      </c>
      <c r="AB63" s="436"/>
    </row>
    <row r="64" spans="1:28" ht="30.75" hidden="1" customHeight="1">
      <c r="A64" s="292" t="s">
        <v>257</v>
      </c>
      <c r="B64" s="291" t="s">
        <v>680</v>
      </c>
      <c r="C64" s="436">
        <f>SUM(D64:E64)</f>
        <v>0</v>
      </c>
      <c r="D64" s="436">
        <f>G64+I64+K64+M64+O64+Q64+S64+V64+X64+Z64+AB64</f>
        <v>0</v>
      </c>
      <c r="E64" s="436">
        <f t="shared" si="56"/>
        <v>0</v>
      </c>
      <c r="F64" s="436">
        <f>SUM(G64:G64)</f>
        <v>0</v>
      </c>
      <c r="G64" s="436"/>
      <c r="H64" s="436">
        <f>SUM(I64:I64)</f>
        <v>0</v>
      </c>
      <c r="I64" s="436"/>
      <c r="J64" s="436">
        <f>SUM(K64:K64)</f>
        <v>0</v>
      </c>
      <c r="K64" s="436"/>
      <c r="L64" s="436">
        <f>SUM(M64:M64)</f>
        <v>0</v>
      </c>
      <c r="M64" s="436"/>
      <c r="N64" s="436">
        <f>SUM(O64:O64)</f>
        <v>0</v>
      </c>
      <c r="O64" s="436"/>
      <c r="P64" s="436">
        <f>SUM(Q64:Q64)</f>
        <v>0</v>
      </c>
      <c r="Q64" s="436"/>
      <c r="R64" s="436">
        <f>SUM(S64:T64)</f>
        <v>0</v>
      </c>
      <c r="S64" s="436"/>
      <c r="T64" s="436"/>
      <c r="U64" s="436">
        <f>SUM(V64:V64)</f>
        <v>0</v>
      </c>
      <c r="V64" s="436"/>
      <c r="W64" s="436">
        <f>SUM(X64:X64)</f>
        <v>0</v>
      </c>
      <c r="X64" s="436"/>
      <c r="Y64" s="436">
        <f>SUM(Z64:Z64)</f>
        <v>0</v>
      </c>
      <c r="Z64" s="436"/>
      <c r="AA64" s="436">
        <f>SUM(AB64:AB64)</f>
        <v>0</v>
      </c>
      <c r="AB64" s="436"/>
    </row>
    <row r="65" spans="1:29" s="286" customFormat="1" ht="16.5" customHeight="1">
      <c r="A65" s="284" t="s">
        <v>206</v>
      </c>
      <c r="B65" s="285" t="s">
        <v>637</v>
      </c>
      <c r="C65" s="435">
        <f>SUM(C66:C71)</f>
        <v>5891.2290000000003</v>
      </c>
      <c r="D65" s="435">
        <f t="shared" ref="D65:S65" si="57">SUM(D66:D71)</f>
        <v>5891.2290000000003</v>
      </c>
      <c r="E65" s="436">
        <f t="shared" si="57"/>
        <v>0</v>
      </c>
      <c r="F65" s="435">
        <f t="shared" si="57"/>
        <v>379.68599999999998</v>
      </c>
      <c r="G65" s="435">
        <f t="shared" si="57"/>
        <v>379.68599999999998</v>
      </c>
      <c r="H65" s="435">
        <f t="shared" si="57"/>
        <v>282.11599999999999</v>
      </c>
      <c r="I65" s="435">
        <f t="shared" si="57"/>
        <v>282.11599999999999</v>
      </c>
      <c r="J65" s="435">
        <f t="shared" si="57"/>
        <v>245.49799999999999</v>
      </c>
      <c r="K65" s="435">
        <f t="shared" si="57"/>
        <v>245.49799999999999</v>
      </c>
      <c r="L65" s="435">
        <f t="shared" si="57"/>
        <v>265.69499999999999</v>
      </c>
      <c r="M65" s="435">
        <f t="shared" si="57"/>
        <v>265.69499999999999</v>
      </c>
      <c r="N65" s="435">
        <f t="shared" si="57"/>
        <v>252.54999999999998</v>
      </c>
      <c r="O65" s="435">
        <f t="shared" si="57"/>
        <v>252.54999999999998</v>
      </c>
      <c r="P65" s="435">
        <f t="shared" si="57"/>
        <v>288.19899999999996</v>
      </c>
      <c r="Q65" s="435">
        <f t="shared" si="57"/>
        <v>288.19899999999996</v>
      </c>
      <c r="R65" s="435">
        <f t="shared" si="57"/>
        <v>951.79800000000012</v>
      </c>
      <c r="S65" s="435">
        <f t="shared" si="57"/>
        <v>951.79800000000012</v>
      </c>
      <c r="T65" s="435">
        <f t="shared" ref="T65:AB65" si="58">SUM(T66:T71)</f>
        <v>0</v>
      </c>
      <c r="U65" s="435">
        <f t="shared" si="58"/>
        <v>234.56000000000003</v>
      </c>
      <c r="V65" s="435">
        <f t="shared" si="58"/>
        <v>234.56000000000003</v>
      </c>
      <c r="W65" s="435">
        <f t="shared" si="58"/>
        <v>959.14700000000005</v>
      </c>
      <c r="X65" s="435">
        <f t="shared" si="58"/>
        <v>959.14700000000005</v>
      </c>
      <c r="Y65" s="435">
        <f t="shared" si="58"/>
        <v>971.80200000000013</v>
      </c>
      <c r="Z65" s="435">
        <f t="shared" si="58"/>
        <v>971.80200000000013</v>
      </c>
      <c r="AA65" s="435">
        <f t="shared" si="58"/>
        <v>1060.1780000000001</v>
      </c>
      <c r="AB65" s="435">
        <f t="shared" si="58"/>
        <v>1060.1780000000001</v>
      </c>
    </row>
    <row r="66" spans="1:29" ht="30.75" customHeight="1">
      <c r="A66" s="292" t="s">
        <v>257</v>
      </c>
      <c r="B66" s="291" t="s">
        <v>631</v>
      </c>
      <c r="C66" s="436">
        <f t="shared" ref="C66:C71" si="59">SUM(D66:E66)</f>
        <v>1061.5700000000002</v>
      </c>
      <c r="D66" s="436">
        <f t="shared" ref="D66:D71" si="60">G66+I66+K66+M66+O66+Q66+S66+V66+X66+Z66+AB66</f>
        <v>1061.5700000000002</v>
      </c>
      <c r="E66" s="436">
        <f t="shared" ref="E66:E75" si="61">+T66</f>
        <v>0</v>
      </c>
      <c r="F66" s="436">
        <f t="shared" ref="F66:F71" si="62">SUM(G66:G66)</f>
        <v>88.058999999999997</v>
      </c>
      <c r="G66" s="436">
        <v>88.058999999999997</v>
      </c>
      <c r="H66" s="436">
        <f t="shared" ref="H66:H71" si="63">SUM(I66:I66)</f>
        <v>88.183999999999997</v>
      </c>
      <c r="I66" s="436">
        <v>88.183999999999997</v>
      </c>
      <c r="J66" s="436">
        <f t="shared" ref="J66:J71" si="64">SUM(K66:K66)</f>
        <v>63.295000000000002</v>
      </c>
      <c r="K66" s="436">
        <v>63.295000000000002</v>
      </c>
      <c r="L66" s="436">
        <f t="shared" ref="L66:L71" si="65">SUM(M66:M66)</f>
        <v>95.658000000000001</v>
      </c>
      <c r="M66" s="436">
        <v>95.658000000000001</v>
      </c>
      <c r="N66" s="436">
        <f t="shared" ref="N66:N71" si="66">SUM(O66:O66)</f>
        <v>101.97</v>
      </c>
      <c r="O66" s="436">
        <v>101.97</v>
      </c>
      <c r="P66" s="436">
        <f t="shared" ref="P66:P71" si="67">SUM(Q66:Q66)</f>
        <v>92.617999999999995</v>
      </c>
      <c r="Q66" s="436">
        <v>92.617999999999995</v>
      </c>
      <c r="R66" s="436">
        <f t="shared" ref="R66:R71" si="68">SUM(S66:T66)</f>
        <v>95.89</v>
      </c>
      <c r="S66" s="436">
        <v>95.89</v>
      </c>
      <c r="T66" s="436"/>
      <c r="U66" s="436">
        <f t="shared" ref="U66:U71" si="69">SUM(V66:V66)</f>
        <v>105.581</v>
      </c>
      <c r="V66" s="436">
        <v>105.581</v>
      </c>
      <c r="W66" s="436">
        <f t="shared" ref="W66:W71" si="70">SUM(X66:X66)</f>
        <v>91.617000000000004</v>
      </c>
      <c r="X66" s="436">
        <v>91.617000000000004</v>
      </c>
      <c r="Y66" s="436">
        <f t="shared" ref="Y66:Y71" si="71">SUM(Z66:Z66)</f>
        <v>112.64400000000001</v>
      </c>
      <c r="Z66" s="436">
        <f>112.644</f>
        <v>112.64400000000001</v>
      </c>
      <c r="AA66" s="436">
        <f t="shared" ref="AA66:AA71" si="72">SUM(AB66:AB66)</f>
        <v>126.054</v>
      </c>
      <c r="AB66" s="436">
        <v>126.054</v>
      </c>
    </row>
    <row r="67" spans="1:29" ht="20.25" customHeight="1">
      <c r="A67" s="292" t="s">
        <v>257</v>
      </c>
      <c r="B67" s="291" t="s">
        <v>608</v>
      </c>
      <c r="C67" s="436">
        <f t="shared" si="59"/>
        <v>576</v>
      </c>
      <c r="D67" s="436">
        <f t="shared" si="60"/>
        <v>576</v>
      </c>
      <c r="E67" s="436">
        <f t="shared" si="61"/>
        <v>0</v>
      </c>
      <c r="F67" s="436">
        <f t="shared" si="62"/>
        <v>72</v>
      </c>
      <c r="G67" s="436">
        <v>72</v>
      </c>
      <c r="H67" s="436">
        <f t="shared" si="63"/>
        <v>63</v>
      </c>
      <c r="I67" s="436">
        <v>63</v>
      </c>
      <c r="J67" s="436">
        <f t="shared" si="64"/>
        <v>27</v>
      </c>
      <c r="K67" s="436">
        <v>27</v>
      </c>
      <c r="L67" s="436">
        <f t="shared" si="65"/>
        <v>45</v>
      </c>
      <c r="M67" s="436">
        <v>45</v>
      </c>
      <c r="N67" s="436">
        <f t="shared" si="66"/>
        <v>36</v>
      </c>
      <c r="O67" s="436">
        <v>36</v>
      </c>
      <c r="P67" s="436">
        <f t="shared" si="67"/>
        <v>36</v>
      </c>
      <c r="Q67" s="436">
        <v>36</v>
      </c>
      <c r="R67" s="436">
        <f t="shared" si="68"/>
        <v>63</v>
      </c>
      <c r="S67" s="436">
        <v>63</v>
      </c>
      <c r="T67" s="436"/>
      <c r="U67" s="436">
        <f t="shared" si="69"/>
        <v>27</v>
      </c>
      <c r="V67" s="436">
        <v>27</v>
      </c>
      <c r="W67" s="436">
        <f t="shared" si="70"/>
        <v>63</v>
      </c>
      <c r="X67" s="436">
        <v>63</v>
      </c>
      <c r="Y67" s="436">
        <f t="shared" si="71"/>
        <v>54</v>
      </c>
      <c r="Z67" s="436">
        <f>54</f>
        <v>54</v>
      </c>
      <c r="AA67" s="436">
        <f t="shared" si="72"/>
        <v>90</v>
      </c>
      <c r="AB67" s="436">
        <v>90</v>
      </c>
    </row>
    <row r="68" spans="1:29" s="297" customFormat="1">
      <c r="A68" s="296" t="s">
        <v>257</v>
      </c>
      <c r="B68" s="300" t="s">
        <v>638</v>
      </c>
      <c r="C68" s="439">
        <f t="shared" si="59"/>
        <v>646.36200000000008</v>
      </c>
      <c r="D68" s="439">
        <f t="shared" si="60"/>
        <v>646.36200000000008</v>
      </c>
      <c r="E68" s="436">
        <f t="shared" si="61"/>
        <v>0</v>
      </c>
      <c r="F68" s="439">
        <f t="shared" si="62"/>
        <v>68.302000000000007</v>
      </c>
      <c r="G68" s="439">
        <v>68.302000000000007</v>
      </c>
      <c r="H68" s="439">
        <f t="shared" si="63"/>
        <v>46.13</v>
      </c>
      <c r="I68" s="439">
        <v>46.13</v>
      </c>
      <c r="J68" s="439">
        <f t="shared" si="64"/>
        <v>51.494</v>
      </c>
      <c r="K68" s="439">
        <v>51.494</v>
      </c>
      <c r="L68" s="439">
        <f t="shared" si="65"/>
        <v>53.281999999999996</v>
      </c>
      <c r="M68" s="439">
        <v>53.281999999999996</v>
      </c>
      <c r="N68" s="439">
        <f t="shared" si="66"/>
        <v>49.347999999999999</v>
      </c>
      <c r="O68" s="439">
        <v>49.347999999999999</v>
      </c>
      <c r="P68" s="439">
        <f t="shared" si="67"/>
        <v>49.348999999999997</v>
      </c>
      <c r="Q68" s="439">
        <v>49.348999999999997</v>
      </c>
      <c r="R68" s="436">
        <f t="shared" si="68"/>
        <v>55.786000000000001</v>
      </c>
      <c r="S68" s="439">
        <v>55.786000000000001</v>
      </c>
      <c r="T68" s="439"/>
      <c r="U68" s="439">
        <f t="shared" si="69"/>
        <v>43.27</v>
      </c>
      <c r="V68" s="439">
        <v>43.27</v>
      </c>
      <c r="W68" s="439">
        <f t="shared" si="70"/>
        <v>67.408000000000001</v>
      </c>
      <c r="X68" s="439">
        <v>67.408000000000001</v>
      </c>
      <c r="Y68" s="439">
        <f t="shared" si="71"/>
        <v>74.56</v>
      </c>
      <c r="Z68" s="439">
        <f>74.56</f>
        <v>74.56</v>
      </c>
      <c r="AA68" s="439">
        <f t="shared" si="72"/>
        <v>87.433000000000007</v>
      </c>
      <c r="AB68" s="439">
        <v>87.433000000000007</v>
      </c>
    </row>
    <row r="69" spans="1:29" s="297" customFormat="1">
      <c r="A69" s="296" t="s">
        <v>257</v>
      </c>
      <c r="B69" s="300" t="s">
        <v>710</v>
      </c>
      <c r="C69" s="439">
        <f t="shared" si="59"/>
        <v>2609.2800000000002</v>
      </c>
      <c r="D69" s="439">
        <f t="shared" si="60"/>
        <v>2609.2800000000002</v>
      </c>
      <c r="E69" s="436">
        <f t="shared" si="61"/>
        <v>0</v>
      </c>
      <c r="F69" s="439">
        <f t="shared" si="62"/>
        <v>0</v>
      </c>
      <c r="G69" s="439"/>
      <c r="H69" s="439">
        <f t="shared" si="63"/>
        <v>0</v>
      </c>
      <c r="I69" s="439"/>
      <c r="J69" s="439">
        <f t="shared" si="64"/>
        <v>0</v>
      </c>
      <c r="K69" s="439"/>
      <c r="L69" s="439">
        <f t="shared" si="65"/>
        <v>0</v>
      </c>
      <c r="M69" s="439"/>
      <c r="N69" s="439">
        <f t="shared" si="66"/>
        <v>0</v>
      </c>
      <c r="O69" s="439"/>
      <c r="P69" s="439">
        <f t="shared" si="67"/>
        <v>0</v>
      </c>
      <c r="Q69" s="439"/>
      <c r="R69" s="436">
        <f t="shared" si="68"/>
        <v>652.32000000000005</v>
      </c>
      <c r="S69" s="439">
        <v>652.32000000000005</v>
      </c>
      <c r="T69" s="439"/>
      <c r="U69" s="439">
        <f t="shared" si="69"/>
        <v>0</v>
      </c>
      <c r="V69" s="439"/>
      <c r="W69" s="439">
        <f t="shared" si="70"/>
        <v>652.32000000000005</v>
      </c>
      <c r="X69" s="439">
        <v>652.32000000000005</v>
      </c>
      <c r="Y69" s="439">
        <f t="shared" si="71"/>
        <v>652.32000000000005</v>
      </c>
      <c r="Z69" s="439">
        <v>652.32000000000005</v>
      </c>
      <c r="AA69" s="439">
        <f t="shared" si="72"/>
        <v>652.32000000000005</v>
      </c>
      <c r="AB69" s="439">
        <v>652.32000000000005</v>
      </c>
    </row>
    <row r="70" spans="1:29" s="297" customFormat="1">
      <c r="A70" s="296" t="s">
        <v>257</v>
      </c>
      <c r="B70" s="300" t="s">
        <v>609</v>
      </c>
      <c r="C70" s="439">
        <f t="shared" si="59"/>
        <v>848.01700000000005</v>
      </c>
      <c r="D70" s="439">
        <f t="shared" si="60"/>
        <v>848.01700000000005</v>
      </c>
      <c r="E70" s="436">
        <f t="shared" si="61"/>
        <v>0</v>
      </c>
      <c r="F70" s="439">
        <f t="shared" si="62"/>
        <v>91.325000000000003</v>
      </c>
      <c r="G70" s="439">
        <v>91.325000000000003</v>
      </c>
      <c r="H70" s="439">
        <f t="shared" si="63"/>
        <v>84.802000000000007</v>
      </c>
      <c r="I70" s="439">
        <v>84.802000000000007</v>
      </c>
      <c r="J70" s="439">
        <f t="shared" si="64"/>
        <v>58.709000000000003</v>
      </c>
      <c r="K70" s="439">
        <v>58.709000000000003</v>
      </c>
      <c r="L70" s="439">
        <f t="shared" si="65"/>
        <v>71.754999999999995</v>
      </c>
      <c r="M70" s="439">
        <v>71.754999999999995</v>
      </c>
      <c r="N70" s="439">
        <f t="shared" si="66"/>
        <v>65.231999999999999</v>
      </c>
      <c r="O70" s="439">
        <v>65.231999999999999</v>
      </c>
      <c r="P70" s="439">
        <f t="shared" si="67"/>
        <v>65.231999999999999</v>
      </c>
      <c r="Q70" s="439">
        <v>65.231999999999999</v>
      </c>
      <c r="R70" s="436">
        <f t="shared" si="68"/>
        <v>84.802000000000007</v>
      </c>
      <c r="S70" s="439">
        <v>84.802000000000007</v>
      </c>
      <c r="T70" s="439"/>
      <c r="U70" s="439">
        <f t="shared" si="69"/>
        <v>58.709000000000003</v>
      </c>
      <c r="V70" s="439">
        <v>58.709000000000003</v>
      </c>
      <c r="W70" s="439">
        <f t="shared" si="70"/>
        <v>84.802000000000007</v>
      </c>
      <c r="X70" s="439">
        <v>84.802000000000007</v>
      </c>
      <c r="Y70" s="439">
        <f t="shared" si="71"/>
        <v>78.278000000000006</v>
      </c>
      <c r="Z70" s="439">
        <f>78.278</f>
        <v>78.278000000000006</v>
      </c>
      <c r="AA70" s="439">
        <f t="shared" si="72"/>
        <v>104.371</v>
      </c>
      <c r="AB70" s="439">
        <v>104.371</v>
      </c>
    </row>
    <row r="71" spans="1:29" ht="16.5" customHeight="1">
      <c r="A71" s="292" t="s">
        <v>257</v>
      </c>
      <c r="B71" s="291" t="s">
        <v>639</v>
      </c>
      <c r="C71" s="436">
        <f t="shared" si="59"/>
        <v>150</v>
      </c>
      <c r="D71" s="436">
        <f t="shared" si="60"/>
        <v>150</v>
      </c>
      <c r="E71" s="436">
        <f t="shared" si="61"/>
        <v>0</v>
      </c>
      <c r="F71" s="436">
        <f t="shared" si="62"/>
        <v>60</v>
      </c>
      <c r="G71" s="436">
        <v>60</v>
      </c>
      <c r="H71" s="436">
        <f t="shared" si="63"/>
        <v>0</v>
      </c>
      <c r="I71" s="436"/>
      <c r="J71" s="436">
        <f t="shared" si="64"/>
        <v>45</v>
      </c>
      <c r="K71" s="436">
        <v>45</v>
      </c>
      <c r="L71" s="436">
        <f t="shared" si="65"/>
        <v>0</v>
      </c>
      <c r="M71" s="436"/>
      <c r="N71" s="436">
        <f t="shared" si="66"/>
        <v>0</v>
      </c>
      <c r="O71" s="436"/>
      <c r="P71" s="436">
        <f t="shared" si="67"/>
        <v>45</v>
      </c>
      <c r="Q71" s="436">
        <v>45</v>
      </c>
      <c r="R71" s="436">
        <f t="shared" si="68"/>
        <v>0</v>
      </c>
      <c r="S71" s="436"/>
      <c r="T71" s="436"/>
      <c r="U71" s="436">
        <f t="shared" si="69"/>
        <v>0</v>
      </c>
      <c r="V71" s="436"/>
      <c r="W71" s="436">
        <f t="shared" si="70"/>
        <v>0</v>
      </c>
      <c r="X71" s="436"/>
      <c r="Y71" s="436">
        <f t="shared" si="71"/>
        <v>0</v>
      </c>
      <c r="Z71" s="436"/>
      <c r="AA71" s="436">
        <f t="shared" si="72"/>
        <v>0</v>
      </c>
      <c r="AB71" s="436"/>
    </row>
    <row r="72" spans="1:29" s="286" customFormat="1" ht="17.25" customHeight="1">
      <c r="A72" s="284">
        <v>8</v>
      </c>
      <c r="B72" s="285" t="s">
        <v>227</v>
      </c>
      <c r="C72" s="435">
        <f>SUM(C73:C74)</f>
        <v>472</v>
      </c>
      <c r="D72" s="435">
        <f>SUM(D73:D74)</f>
        <v>472</v>
      </c>
      <c r="E72" s="435">
        <f t="shared" ref="E72:AB72" si="73">SUM(E73:E74)</f>
        <v>0</v>
      </c>
      <c r="F72" s="435">
        <f t="shared" si="73"/>
        <v>52</v>
      </c>
      <c r="G72" s="435">
        <f t="shared" si="73"/>
        <v>52</v>
      </c>
      <c r="H72" s="435">
        <f>SUM(H73:H74)</f>
        <v>49</v>
      </c>
      <c r="I72" s="435">
        <f t="shared" si="73"/>
        <v>49</v>
      </c>
      <c r="J72" s="435">
        <f>SUM(J73:J74)</f>
        <v>31</v>
      </c>
      <c r="K72" s="435">
        <f t="shared" si="73"/>
        <v>31</v>
      </c>
      <c r="L72" s="435">
        <f>SUM(L73:L74)</f>
        <v>37</v>
      </c>
      <c r="M72" s="435">
        <f t="shared" si="73"/>
        <v>37</v>
      </c>
      <c r="N72" s="435">
        <f>SUM(N73:N74)</f>
        <v>34</v>
      </c>
      <c r="O72" s="435">
        <f t="shared" si="73"/>
        <v>34</v>
      </c>
      <c r="P72" s="435">
        <f>SUM(P73:P74)</f>
        <v>34</v>
      </c>
      <c r="Q72" s="435">
        <f t="shared" si="73"/>
        <v>34</v>
      </c>
      <c r="R72" s="435">
        <f>SUM(R73:R74)</f>
        <v>49.5</v>
      </c>
      <c r="S72" s="435">
        <f t="shared" si="73"/>
        <v>49.5</v>
      </c>
      <c r="T72" s="435">
        <f t="shared" si="73"/>
        <v>0</v>
      </c>
      <c r="U72" s="435">
        <f>SUM(U73:U74)</f>
        <v>31</v>
      </c>
      <c r="V72" s="435">
        <f t="shared" si="73"/>
        <v>31</v>
      </c>
      <c r="W72" s="435">
        <f>SUM(W73:W74)</f>
        <v>49.5</v>
      </c>
      <c r="X72" s="435">
        <f t="shared" si="73"/>
        <v>49.5</v>
      </c>
      <c r="Y72" s="435">
        <f>SUM(Y73:Y74)</f>
        <v>46.5</v>
      </c>
      <c r="Z72" s="435">
        <f t="shared" si="73"/>
        <v>46.5</v>
      </c>
      <c r="AA72" s="435">
        <f>SUM(AA73:AA74)</f>
        <v>58.5</v>
      </c>
      <c r="AB72" s="435">
        <f t="shared" si="73"/>
        <v>58.5</v>
      </c>
      <c r="AC72" s="290"/>
    </row>
    <row r="73" spans="1:29" ht="17.25" customHeight="1">
      <c r="A73" s="284" t="s">
        <v>257</v>
      </c>
      <c r="B73" s="291" t="s">
        <v>640</v>
      </c>
      <c r="C73" s="436">
        <f>SUM(D73:E73)</f>
        <v>222</v>
      </c>
      <c r="D73" s="436">
        <f>G73+I73+K73+M73+O73+Q73+S73+V73+X73+Z73+AB73</f>
        <v>222</v>
      </c>
      <c r="E73" s="436">
        <f t="shared" si="61"/>
        <v>0</v>
      </c>
      <c r="F73" s="436">
        <f>SUM(G73:G73)</f>
        <v>27</v>
      </c>
      <c r="G73" s="436">
        <f>3*8+3</f>
        <v>27</v>
      </c>
      <c r="H73" s="436">
        <f>SUM(I73:I73)</f>
        <v>24</v>
      </c>
      <c r="I73" s="436">
        <f>3*7+3</f>
        <v>24</v>
      </c>
      <c r="J73" s="436">
        <f>SUM(K73:K73)</f>
        <v>11</v>
      </c>
      <c r="K73" s="436">
        <v>11</v>
      </c>
      <c r="L73" s="436">
        <f>SUM(M73:M73)</f>
        <v>17</v>
      </c>
      <c r="M73" s="436">
        <f>5*3+2</f>
        <v>17</v>
      </c>
      <c r="N73" s="436">
        <f>SUM(O73:O73)</f>
        <v>14</v>
      </c>
      <c r="O73" s="436">
        <f>3*4+2</f>
        <v>14</v>
      </c>
      <c r="P73" s="436">
        <f>SUM(Q73:Q73)</f>
        <v>14</v>
      </c>
      <c r="Q73" s="436">
        <f>4*3+2</f>
        <v>14</v>
      </c>
      <c r="R73" s="436">
        <f>SUM(S73:T73)</f>
        <v>24.5</v>
      </c>
      <c r="S73" s="436">
        <f>7*3+3.5</f>
        <v>24.5</v>
      </c>
      <c r="T73" s="436"/>
      <c r="U73" s="436">
        <f>SUM(V73:V73)</f>
        <v>11</v>
      </c>
      <c r="V73" s="436">
        <v>11</v>
      </c>
      <c r="W73" s="436">
        <f>SUM(X73:X73)</f>
        <v>24.5</v>
      </c>
      <c r="X73" s="436">
        <f>7*3+3.5</f>
        <v>24.5</v>
      </c>
      <c r="Y73" s="436">
        <f>SUM(Z73:Z73)</f>
        <v>21.5</v>
      </c>
      <c r="Z73" s="436">
        <f>6*3+3.5</f>
        <v>21.5</v>
      </c>
      <c r="AA73" s="436">
        <f>SUM(AB73:AB73)</f>
        <v>33.5</v>
      </c>
      <c r="AB73" s="436">
        <f>10*3+3.5</f>
        <v>33.5</v>
      </c>
    </row>
    <row r="74" spans="1:29" ht="18" customHeight="1">
      <c r="A74" s="284" t="s">
        <v>257</v>
      </c>
      <c r="B74" s="291" t="s">
        <v>708</v>
      </c>
      <c r="C74" s="436">
        <f>SUM(D74:E74)</f>
        <v>250</v>
      </c>
      <c r="D74" s="436">
        <f>G74+I74+K74+M74+O74+Q74+S74+V74+X74+Z74+AB74</f>
        <v>250</v>
      </c>
      <c r="E74" s="436">
        <f t="shared" si="61"/>
        <v>0</v>
      </c>
      <c r="F74" s="436">
        <f>SUM(G74:G74)</f>
        <v>25</v>
      </c>
      <c r="G74" s="436">
        <v>25</v>
      </c>
      <c r="H74" s="436">
        <f>SUM(I74:I74)</f>
        <v>25</v>
      </c>
      <c r="I74" s="436">
        <v>25</v>
      </c>
      <c r="J74" s="436">
        <f>SUM(K74:K74)</f>
        <v>20</v>
      </c>
      <c r="K74" s="436">
        <v>20</v>
      </c>
      <c r="L74" s="436">
        <f>SUM(M74:M74)</f>
        <v>20</v>
      </c>
      <c r="M74" s="436">
        <v>20</v>
      </c>
      <c r="N74" s="436">
        <f>SUM(O74:O74)</f>
        <v>20</v>
      </c>
      <c r="O74" s="436">
        <v>20</v>
      </c>
      <c r="P74" s="436">
        <f>SUM(Q74:Q74)</f>
        <v>20</v>
      </c>
      <c r="Q74" s="436">
        <v>20</v>
      </c>
      <c r="R74" s="436">
        <f>SUM(S74:T74)</f>
        <v>25</v>
      </c>
      <c r="S74" s="436">
        <v>25</v>
      </c>
      <c r="T74" s="436"/>
      <c r="U74" s="436">
        <f>SUM(V74:V74)</f>
        <v>20</v>
      </c>
      <c r="V74" s="436">
        <v>20</v>
      </c>
      <c r="W74" s="436">
        <f>SUM(X74:X74)</f>
        <v>25</v>
      </c>
      <c r="X74" s="436">
        <v>25</v>
      </c>
      <c r="Y74" s="436">
        <f>SUM(Z74:Z74)</f>
        <v>25</v>
      </c>
      <c r="Z74" s="436">
        <v>25</v>
      </c>
      <c r="AA74" s="436">
        <f>SUM(AB74:AB74)</f>
        <v>25</v>
      </c>
      <c r="AB74" s="436">
        <v>25</v>
      </c>
    </row>
    <row r="75" spans="1:29" s="286" customFormat="1" ht="14.25" customHeight="1">
      <c r="A75" s="325" t="s">
        <v>94</v>
      </c>
      <c r="B75" s="326" t="s">
        <v>641</v>
      </c>
      <c r="C75" s="440">
        <f>SUM(D75:D75)</f>
        <v>1214</v>
      </c>
      <c r="D75" s="440">
        <f>G75+I75+K75+M75+O75+Q75+S75+V75+X75+Z75+AB75</f>
        <v>1214</v>
      </c>
      <c r="E75" s="436">
        <f t="shared" si="61"/>
        <v>0</v>
      </c>
      <c r="F75" s="436">
        <f>SUM(G75:G75)</f>
        <v>116</v>
      </c>
      <c r="G75" s="436">
        <v>116</v>
      </c>
      <c r="H75" s="436">
        <f>SUM(I75:I75)</f>
        <v>108</v>
      </c>
      <c r="I75" s="436">
        <v>108</v>
      </c>
      <c r="J75" s="436">
        <f>SUM(K75:K75)</f>
        <v>84</v>
      </c>
      <c r="K75" s="436">
        <v>84</v>
      </c>
      <c r="L75" s="436">
        <f>SUM(M75:M75)</f>
        <v>86</v>
      </c>
      <c r="M75" s="436">
        <v>86</v>
      </c>
      <c r="N75" s="436">
        <f>SUM(O75:O75)</f>
        <v>84</v>
      </c>
      <c r="O75" s="436">
        <v>84</v>
      </c>
      <c r="P75" s="436">
        <f>SUM(Q75:Q75)</f>
        <v>93</v>
      </c>
      <c r="Q75" s="436">
        <v>93</v>
      </c>
      <c r="R75" s="436">
        <f>SUM(S75:T75)</f>
        <v>132</v>
      </c>
      <c r="S75" s="436">
        <v>132</v>
      </c>
      <c r="T75" s="436"/>
      <c r="U75" s="436">
        <f>SUM(V75:V75)</f>
        <v>91</v>
      </c>
      <c r="V75" s="436">
        <v>91</v>
      </c>
      <c r="W75" s="436">
        <f>SUM(X75:X75)</f>
        <v>136</v>
      </c>
      <c r="X75" s="436">
        <v>136</v>
      </c>
      <c r="Y75" s="436">
        <f>SUM(Z75:Z75)</f>
        <v>129</v>
      </c>
      <c r="Z75" s="436">
        <v>129</v>
      </c>
      <c r="AA75" s="436">
        <f>SUM(AB75:AB75)</f>
        <v>155</v>
      </c>
      <c r="AB75" s="436">
        <v>155</v>
      </c>
    </row>
    <row r="76" spans="1:29" s="297" customFormat="1" ht="12">
      <c r="A76" s="327"/>
      <c r="B76" s="328"/>
      <c r="C76" s="329"/>
      <c r="D76" s="329"/>
      <c r="E76" s="329"/>
      <c r="F76" s="301"/>
      <c r="G76" s="301"/>
      <c r="H76" s="301"/>
      <c r="I76" s="301"/>
      <c r="J76" s="301"/>
      <c r="K76" s="301"/>
      <c r="L76" s="301"/>
      <c r="M76" s="301"/>
      <c r="N76" s="301"/>
      <c r="O76" s="301"/>
      <c r="P76" s="301"/>
      <c r="Q76" s="340"/>
      <c r="R76" s="301"/>
      <c r="S76" s="301"/>
      <c r="T76" s="301"/>
      <c r="U76" s="301"/>
      <c r="V76" s="301"/>
      <c r="W76" s="301"/>
      <c r="X76" s="301"/>
      <c r="Y76" s="301"/>
      <c r="Z76" s="301"/>
      <c r="AA76" s="301"/>
      <c r="AB76" s="301"/>
    </row>
  </sheetData>
  <mergeCells count="45">
    <mergeCell ref="Z1:AB1"/>
    <mergeCell ref="R2:Y2"/>
    <mergeCell ref="C4:E4"/>
    <mergeCell ref="O1:Q1"/>
    <mergeCell ref="A2:Q2"/>
    <mergeCell ref="U4:V4"/>
    <mergeCell ref="W4:X4"/>
    <mergeCell ref="Y4:Z4"/>
    <mergeCell ref="AA4:AB4"/>
    <mergeCell ref="AA3:AB3"/>
    <mergeCell ref="P3:Q3"/>
    <mergeCell ref="A1:B1"/>
    <mergeCell ref="A4:A6"/>
    <mergeCell ref="B4:B6"/>
    <mergeCell ref="F4:G4"/>
    <mergeCell ref="H4:I4"/>
    <mergeCell ref="U5:U6"/>
    <mergeCell ref="V5:V6"/>
    <mergeCell ref="W5:W6"/>
    <mergeCell ref="X5:X6"/>
    <mergeCell ref="AB5:AB6"/>
    <mergeCell ref="Y5:Y6"/>
    <mergeCell ref="Z5:Z6"/>
    <mergeCell ref="AA5:AA6"/>
    <mergeCell ref="S5:S6"/>
    <mergeCell ref="J4:K4"/>
    <mergeCell ref="L4:M4"/>
    <mergeCell ref="N4:O4"/>
    <mergeCell ref="P4:Q4"/>
    <mergeCell ref="R4:S4"/>
    <mergeCell ref="M5:M6"/>
    <mergeCell ref="N5:N6"/>
    <mergeCell ref="O5:O6"/>
    <mergeCell ref="J5:J6"/>
    <mergeCell ref="K5:K6"/>
    <mergeCell ref="L5:L6"/>
    <mergeCell ref="C5:C6"/>
    <mergeCell ref="D5:D6"/>
    <mergeCell ref="P5:P6"/>
    <mergeCell ref="Q5:Q6"/>
    <mergeCell ref="R5:R6"/>
    <mergeCell ref="F5:F6"/>
    <mergeCell ref="G5:G6"/>
    <mergeCell ref="H5:H6"/>
    <mergeCell ref="I5:I6"/>
  </mergeCells>
  <printOptions horizontalCentered="1"/>
  <pageMargins left="0.19685039370078741" right="0.19685039370078741" top="0.19685039370078741" bottom="0.19685039370078741" header="0.31496062992125984" footer="0.31496062992125984"/>
  <pageSetup paperSize="9" scale="7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5"/>
  <sheetViews>
    <sheetView workbookViewId="0">
      <pane xSplit="2" ySplit="7" topLeftCell="C8" activePane="bottomRight" state="frozen"/>
      <selection pane="topRight" activeCell="C1" sqref="C1"/>
      <selection pane="bottomLeft" activeCell="A8" sqref="A8"/>
      <selection pane="bottomRight" activeCell="B12" sqref="B12"/>
    </sheetView>
  </sheetViews>
  <sheetFormatPr defaultColWidth="9.140625" defaultRowHeight="15.75"/>
  <cols>
    <col min="1" max="1" width="6" style="9" customWidth="1"/>
    <col min="2" max="2" width="40.28515625" style="9" customWidth="1"/>
    <col min="3" max="3" width="15.140625" style="41" customWidth="1"/>
    <col min="4" max="4" width="12.85546875" style="42" customWidth="1"/>
    <col min="5" max="5" width="12.85546875" style="43" customWidth="1"/>
    <col min="6" max="6" width="12.85546875" style="9" customWidth="1"/>
    <col min="7" max="16384" width="9.140625" style="9"/>
  </cols>
  <sheetData>
    <row r="1" spans="1:7" s="2" customFormat="1" hidden="1">
      <c r="A1" s="1" t="s">
        <v>0</v>
      </c>
      <c r="C1" s="3"/>
      <c r="D1" s="4"/>
      <c r="E1" s="652" t="s">
        <v>1</v>
      </c>
      <c r="F1" s="652"/>
    </row>
    <row r="2" spans="1:7" hidden="1">
      <c r="A2" s="5"/>
      <c r="B2"/>
      <c r="C2" s="6"/>
      <c r="D2" s="7"/>
      <c r="E2" s="8"/>
      <c r="F2"/>
    </row>
    <row r="3" spans="1:7">
      <c r="A3" s="653" t="s">
        <v>2</v>
      </c>
      <c r="B3" s="653"/>
      <c r="C3" s="653"/>
      <c r="D3" s="653"/>
      <c r="E3" s="653"/>
      <c r="F3" s="653"/>
    </row>
    <row r="4" spans="1:7" hidden="1">
      <c r="A4" s="10"/>
      <c r="B4" s="10"/>
      <c r="C4" s="11"/>
      <c r="D4" s="12"/>
      <c r="E4" s="13"/>
      <c r="F4" s="10"/>
    </row>
    <row r="5" spans="1:7" hidden="1">
      <c r="B5"/>
      <c r="C5" s="6"/>
      <c r="D5" s="7"/>
      <c r="E5" s="8"/>
      <c r="F5" s="14" t="s">
        <v>3</v>
      </c>
    </row>
    <row r="6" spans="1:7" ht="28.5" customHeight="1">
      <c r="A6" s="654" t="s">
        <v>4</v>
      </c>
      <c r="B6" s="654" t="s">
        <v>5</v>
      </c>
      <c r="C6" s="656" t="s">
        <v>6</v>
      </c>
      <c r="D6" s="654" t="s">
        <v>7</v>
      </c>
      <c r="E6" s="654"/>
      <c r="F6" s="654" t="s">
        <v>8</v>
      </c>
    </row>
    <row r="7" spans="1:7" ht="28.5">
      <c r="A7" s="655"/>
      <c r="B7" s="655"/>
      <c r="C7" s="657"/>
      <c r="D7" s="15" t="s">
        <v>9</v>
      </c>
      <c r="E7" s="16" t="s">
        <v>10</v>
      </c>
      <c r="F7" s="655"/>
    </row>
    <row r="8" spans="1:7">
      <c r="A8" s="17" t="s">
        <v>11</v>
      </c>
      <c r="B8" s="17" t="s">
        <v>12</v>
      </c>
      <c r="C8" s="16">
        <v>1</v>
      </c>
      <c r="D8" s="16">
        <v>2</v>
      </c>
      <c r="E8" s="16">
        <v>3</v>
      </c>
      <c r="F8" s="17">
        <v>4</v>
      </c>
      <c r="G8" s="18"/>
    </row>
    <row r="9" spans="1:7">
      <c r="A9" s="19"/>
      <c r="B9" s="17" t="s">
        <v>13</v>
      </c>
      <c r="C9" s="20">
        <f>C10+C80</f>
        <v>138928.907641</v>
      </c>
      <c r="D9" s="15">
        <f>D10+D80</f>
        <v>144370</v>
      </c>
      <c r="E9" s="16">
        <f>E10+E80</f>
        <v>132541</v>
      </c>
      <c r="F9" s="20">
        <f>F10+F80</f>
        <v>0</v>
      </c>
    </row>
    <row r="10" spans="1:7">
      <c r="A10" s="17" t="s">
        <v>14</v>
      </c>
      <c r="B10" s="21" t="s">
        <v>15</v>
      </c>
      <c r="C10" s="20">
        <f>C11+C26+C38+C44+C45+C48+C49+C55+C70+C71+C73+C76+C77</f>
        <v>138928.907641</v>
      </c>
      <c r="D10" s="15">
        <f>D11+D26+D38+D44+D45+D48+D49+D55+D70+D71+D73+D76+D77</f>
        <v>144370</v>
      </c>
      <c r="E10" s="16">
        <f>E11+E26+E38+E44+E45+E48+E49+E55+E70+E71+E73+E76+E77</f>
        <v>132541</v>
      </c>
      <c r="F10" s="20">
        <f>F11+F26+F38+F44+F45+F48+F49+F55+F70+F71+F73+F76+F77</f>
        <v>0</v>
      </c>
    </row>
    <row r="11" spans="1:7" s="27" customFormat="1">
      <c r="A11" s="22">
        <v>1</v>
      </c>
      <c r="B11" s="23" t="s">
        <v>16</v>
      </c>
      <c r="C11" s="24">
        <f>C12+C20</f>
        <v>957.42737899999997</v>
      </c>
      <c r="D11" s="25">
        <f>D12+D20</f>
        <v>8440</v>
      </c>
      <c r="E11" s="26">
        <f>E12+E20</f>
        <v>8690</v>
      </c>
      <c r="F11" s="22">
        <f>F12+F20</f>
        <v>0</v>
      </c>
    </row>
    <row r="12" spans="1:7" ht="30">
      <c r="A12" s="19" t="s">
        <v>17</v>
      </c>
      <c r="B12" s="28" t="s">
        <v>18</v>
      </c>
      <c r="C12" s="29">
        <f>C13+C15+C16+C18</f>
        <v>922.49896799999999</v>
      </c>
      <c r="D12" s="30">
        <f>D13+D15+D16+D18</f>
        <v>8090</v>
      </c>
      <c r="E12" s="31">
        <f>E13+E15+E16+E18</f>
        <v>8090</v>
      </c>
      <c r="F12" s="19">
        <f>F13+F15+F16+F18</f>
        <v>0</v>
      </c>
    </row>
    <row r="13" spans="1:7">
      <c r="A13" s="19"/>
      <c r="B13" s="28" t="s">
        <v>19</v>
      </c>
      <c r="C13" s="29">
        <v>922.06559600000003</v>
      </c>
      <c r="D13" s="30">
        <v>8070</v>
      </c>
      <c r="E13" s="31">
        <v>8070</v>
      </c>
      <c r="F13" s="19"/>
    </row>
    <row r="14" spans="1:7" ht="30">
      <c r="A14" s="19"/>
      <c r="B14" s="32" t="s">
        <v>20</v>
      </c>
      <c r="C14" s="29"/>
      <c r="D14" s="30"/>
      <c r="E14" s="31"/>
      <c r="F14" s="19"/>
    </row>
    <row r="15" spans="1:7">
      <c r="A15" s="19"/>
      <c r="B15" s="28" t="s">
        <v>21</v>
      </c>
      <c r="C15" s="29"/>
      <c r="D15" s="30"/>
      <c r="E15" s="31"/>
      <c r="F15" s="19"/>
    </row>
    <row r="16" spans="1:7" ht="30">
      <c r="A16" s="19"/>
      <c r="B16" s="28" t="s">
        <v>22</v>
      </c>
      <c r="C16" s="29"/>
      <c r="D16" s="30"/>
      <c r="E16" s="31"/>
      <c r="F16" s="19"/>
    </row>
    <row r="17" spans="1:6" ht="45">
      <c r="A17" s="19"/>
      <c r="B17" s="32" t="s">
        <v>23</v>
      </c>
      <c r="C17" s="29"/>
      <c r="D17" s="30"/>
      <c r="E17" s="31"/>
      <c r="F17" s="19"/>
    </row>
    <row r="18" spans="1:6">
      <c r="A18" s="19"/>
      <c r="B18" s="28" t="s">
        <v>24</v>
      </c>
      <c r="C18" s="29">
        <v>0.43337199999999998</v>
      </c>
      <c r="D18" s="30">
        <v>20</v>
      </c>
      <c r="E18" s="31">
        <v>20</v>
      </c>
      <c r="F18" s="19"/>
    </row>
    <row r="19" spans="1:6">
      <c r="A19" s="19"/>
      <c r="B19" s="32" t="s">
        <v>25</v>
      </c>
      <c r="C19" s="29"/>
      <c r="D19" s="30"/>
      <c r="E19" s="31"/>
      <c r="F19" s="19"/>
    </row>
    <row r="20" spans="1:6" ht="30">
      <c r="A20" s="19" t="s">
        <v>26</v>
      </c>
      <c r="B20" s="28" t="s">
        <v>27</v>
      </c>
      <c r="C20" s="29">
        <f>C21+C22+C23+C25</f>
        <v>34.928410999999997</v>
      </c>
      <c r="D20" s="30">
        <f>D21+D22+D23+D25</f>
        <v>350</v>
      </c>
      <c r="E20" s="31">
        <f>E21+E22+E23+E25</f>
        <v>600</v>
      </c>
      <c r="F20" s="19">
        <f>F21+F22+F23+F25</f>
        <v>0</v>
      </c>
    </row>
    <row r="21" spans="1:6">
      <c r="A21" s="19"/>
      <c r="B21" s="28" t="s">
        <v>19</v>
      </c>
      <c r="C21" s="29">
        <v>14.716464</v>
      </c>
      <c r="D21" s="30">
        <v>170</v>
      </c>
      <c r="E21" s="31">
        <v>300</v>
      </c>
      <c r="F21" s="19"/>
    </row>
    <row r="22" spans="1:6">
      <c r="A22" s="19"/>
      <c r="B22" s="28" t="s">
        <v>21</v>
      </c>
      <c r="C22" s="29">
        <v>20.211946999999999</v>
      </c>
      <c r="D22" s="30">
        <v>130</v>
      </c>
      <c r="E22" s="31">
        <v>250</v>
      </c>
      <c r="F22" s="19"/>
    </row>
    <row r="23" spans="1:6" ht="30">
      <c r="A23" s="19"/>
      <c r="B23" s="28" t="s">
        <v>22</v>
      </c>
      <c r="C23" s="29"/>
      <c r="D23" s="30"/>
      <c r="E23" s="31"/>
      <c r="F23" s="19"/>
    </row>
    <row r="24" spans="1:6" ht="45">
      <c r="A24" s="19"/>
      <c r="B24" s="32" t="s">
        <v>23</v>
      </c>
      <c r="C24" s="29"/>
      <c r="D24" s="30"/>
      <c r="E24" s="31"/>
      <c r="F24" s="19"/>
    </row>
    <row r="25" spans="1:6">
      <c r="A25" s="19"/>
      <c r="B25" s="28" t="s">
        <v>24</v>
      </c>
      <c r="C25" s="29"/>
      <c r="D25" s="30">
        <v>50</v>
      </c>
      <c r="E25" s="31">
        <v>50</v>
      </c>
      <c r="F25" s="19"/>
    </row>
    <row r="26" spans="1:6" s="27" customFormat="1" ht="30">
      <c r="A26" s="22">
        <v>2</v>
      </c>
      <c r="B26" s="23" t="s">
        <v>28</v>
      </c>
      <c r="C26" s="24"/>
      <c r="D26" s="25"/>
      <c r="E26" s="26"/>
      <c r="F26" s="22"/>
    </row>
    <row r="27" spans="1:6" hidden="1">
      <c r="A27" s="19"/>
      <c r="B27" s="28" t="s">
        <v>19</v>
      </c>
      <c r="C27" s="33"/>
      <c r="D27" s="30"/>
      <c r="E27" s="31"/>
      <c r="F27" s="19"/>
    </row>
    <row r="28" spans="1:6" ht="30" hidden="1">
      <c r="A28" s="19"/>
      <c r="B28" s="32" t="s">
        <v>29</v>
      </c>
      <c r="C28" s="29"/>
      <c r="D28" s="30"/>
      <c r="E28" s="31"/>
      <c r="F28" s="19"/>
    </row>
    <row r="29" spans="1:6" hidden="1">
      <c r="A29" s="19"/>
      <c r="B29" s="28" t="s">
        <v>21</v>
      </c>
      <c r="C29" s="33"/>
      <c r="D29" s="30"/>
      <c r="E29" s="31"/>
      <c r="F29" s="19"/>
    </row>
    <row r="30" spans="1:6" ht="30" hidden="1">
      <c r="A30" s="19"/>
      <c r="B30" s="32" t="s">
        <v>29</v>
      </c>
      <c r="C30" s="29"/>
      <c r="D30" s="30"/>
      <c r="E30" s="31"/>
      <c r="F30" s="19"/>
    </row>
    <row r="31" spans="1:6" hidden="1">
      <c r="A31" s="19"/>
      <c r="B31" s="28" t="s">
        <v>30</v>
      </c>
      <c r="C31" s="29"/>
      <c r="D31" s="30"/>
      <c r="E31" s="31"/>
      <c r="F31" s="19"/>
    </row>
    <row r="32" spans="1:6" hidden="1">
      <c r="A32" s="19"/>
      <c r="B32" s="28" t="s">
        <v>31</v>
      </c>
      <c r="C32" s="33"/>
      <c r="D32" s="30"/>
      <c r="E32" s="31"/>
      <c r="F32" s="19"/>
    </row>
    <row r="33" spans="1:6" ht="45" hidden="1">
      <c r="A33" s="19"/>
      <c r="B33" s="32" t="s">
        <v>23</v>
      </c>
      <c r="C33" s="29"/>
      <c r="D33" s="30"/>
      <c r="E33" s="31"/>
      <c r="F33" s="19"/>
    </row>
    <row r="34" spans="1:6" hidden="1">
      <c r="A34" s="19"/>
      <c r="B34" s="28" t="s">
        <v>24</v>
      </c>
      <c r="C34" s="33"/>
      <c r="D34" s="30"/>
      <c r="E34" s="31"/>
      <c r="F34" s="19"/>
    </row>
    <row r="35" spans="1:6" hidden="1">
      <c r="A35" s="19"/>
      <c r="B35" s="32" t="s">
        <v>25</v>
      </c>
      <c r="C35" s="29"/>
      <c r="D35" s="30"/>
      <c r="E35" s="31"/>
      <c r="F35" s="19"/>
    </row>
    <row r="36" spans="1:6" hidden="1">
      <c r="A36" s="19"/>
      <c r="B36" s="28" t="s">
        <v>32</v>
      </c>
      <c r="C36" s="29"/>
      <c r="D36" s="30"/>
      <c r="E36" s="31"/>
      <c r="F36" s="19"/>
    </row>
    <row r="37" spans="1:6" ht="30" hidden="1">
      <c r="A37" s="19"/>
      <c r="B37" s="32" t="s">
        <v>29</v>
      </c>
      <c r="C37" s="29"/>
      <c r="D37" s="30"/>
      <c r="E37" s="31"/>
      <c r="F37" s="19"/>
    </row>
    <row r="38" spans="1:6" s="27" customFormat="1">
      <c r="A38" s="22">
        <v>3</v>
      </c>
      <c r="B38" s="23" t="s">
        <v>33</v>
      </c>
      <c r="C38" s="24">
        <f>SUM(C39:C43)</f>
        <v>96582.052209999994</v>
      </c>
      <c r="D38" s="25">
        <f>D39+D40+D41+D43</f>
        <v>71500</v>
      </c>
      <c r="E38" s="26">
        <f>E39+E40+E41+E43</f>
        <v>73870</v>
      </c>
      <c r="F38" s="22">
        <f>F39+F40+F41+F43</f>
        <v>0</v>
      </c>
    </row>
    <row r="39" spans="1:6">
      <c r="A39" s="19"/>
      <c r="B39" s="28" t="s">
        <v>19</v>
      </c>
      <c r="C39" s="29">
        <v>95471.278682000004</v>
      </c>
      <c r="D39" s="30">
        <v>70620</v>
      </c>
      <c r="E39" s="31">
        <v>72886</v>
      </c>
      <c r="F39" s="19"/>
    </row>
    <row r="40" spans="1:6">
      <c r="A40" s="19"/>
      <c r="B40" s="28" t="s">
        <v>21</v>
      </c>
      <c r="C40" s="29">
        <v>211.22163599999999</v>
      </c>
      <c r="D40" s="30">
        <v>200</v>
      </c>
      <c r="E40" s="31">
        <v>298</v>
      </c>
      <c r="F40" s="19"/>
    </row>
    <row r="41" spans="1:6">
      <c r="A41" s="19"/>
      <c r="B41" s="28" t="s">
        <v>31</v>
      </c>
      <c r="C41" s="29">
        <v>33.875691000000003</v>
      </c>
      <c r="D41" s="30">
        <v>40</v>
      </c>
      <c r="E41" s="31">
        <v>18</v>
      </c>
      <c r="F41" s="19"/>
    </row>
    <row r="42" spans="1:6" ht="45">
      <c r="A42" s="19"/>
      <c r="B42" s="32" t="s">
        <v>23</v>
      </c>
      <c r="C42" s="29"/>
      <c r="D42" s="30"/>
      <c r="E42" s="31"/>
      <c r="F42" s="19"/>
    </row>
    <row r="43" spans="1:6">
      <c r="A43" s="19"/>
      <c r="B43" s="28" t="s">
        <v>24</v>
      </c>
      <c r="C43" s="29">
        <v>865.67620099999999</v>
      </c>
      <c r="D43" s="30">
        <v>640</v>
      </c>
      <c r="E43" s="31">
        <v>668</v>
      </c>
      <c r="F43" s="19"/>
    </row>
    <row r="44" spans="1:6" s="27" customFormat="1">
      <c r="A44" s="22">
        <v>4</v>
      </c>
      <c r="B44" s="23" t="s">
        <v>34</v>
      </c>
      <c r="C44" s="24">
        <v>3588.685974</v>
      </c>
      <c r="D44" s="25">
        <v>5500</v>
      </c>
      <c r="E44" s="26">
        <v>5500</v>
      </c>
      <c r="F44" s="22"/>
    </row>
    <row r="45" spans="1:6" s="27" customFormat="1">
      <c r="A45" s="22">
        <v>5</v>
      </c>
      <c r="B45" s="23" t="s">
        <v>35</v>
      </c>
      <c r="C45" s="24"/>
      <c r="D45" s="25"/>
      <c r="E45" s="26"/>
      <c r="F45" s="22"/>
    </row>
    <row r="46" spans="1:6">
      <c r="A46" s="19"/>
      <c r="B46" s="32" t="s">
        <v>36</v>
      </c>
      <c r="C46" s="29"/>
      <c r="D46" s="30"/>
      <c r="E46" s="31"/>
      <c r="F46" s="19"/>
    </row>
    <row r="47" spans="1:6">
      <c r="A47" s="19"/>
      <c r="B47" s="32" t="s">
        <v>37</v>
      </c>
      <c r="C47" s="29"/>
      <c r="D47" s="30"/>
      <c r="E47" s="31"/>
      <c r="F47" s="19"/>
    </row>
    <row r="48" spans="1:6" s="27" customFormat="1">
      <c r="A48" s="22">
        <v>6</v>
      </c>
      <c r="B48" s="23" t="s">
        <v>38</v>
      </c>
      <c r="C48" s="24">
        <v>3591.6485359999997</v>
      </c>
      <c r="D48" s="25">
        <v>4500</v>
      </c>
      <c r="E48" s="26">
        <v>4500</v>
      </c>
      <c r="F48" s="22"/>
    </row>
    <row r="49" spans="1:6" s="27" customFormat="1">
      <c r="A49" s="22">
        <v>7</v>
      </c>
      <c r="B49" s="23" t="s">
        <v>39</v>
      </c>
      <c r="C49" s="24">
        <v>1060.286844</v>
      </c>
      <c r="D49" s="25">
        <v>1250</v>
      </c>
      <c r="E49" s="26">
        <v>1256</v>
      </c>
      <c r="F49" s="22">
        <f>F50+F51+F52+F53</f>
        <v>0</v>
      </c>
    </row>
    <row r="50" spans="1:6">
      <c r="A50" s="19"/>
      <c r="B50" s="28" t="s">
        <v>40</v>
      </c>
      <c r="C50" s="29">
        <v>6</v>
      </c>
      <c r="D50" s="30"/>
      <c r="E50" s="31">
        <v>106</v>
      </c>
      <c r="F50" s="19"/>
    </row>
    <row r="51" spans="1:6">
      <c r="A51" s="19"/>
      <c r="B51" s="28" t="s">
        <v>41</v>
      </c>
      <c r="C51" s="29"/>
      <c r="D51" s="30"/>
      <c r="E51" s="31"/>
      <c r="F51" s="19"/>
    </row>
    <row r="52" spans="1:6">
      <c r="A52" s="19"/>
      <c r="B52" s="28" t="s">
        <v>42</v>
      </c>
      <c r="C52" s="29">
        <v>506.19484399999999</v>
      </c>
      <c r="D52" s="30">
        <v>1250</v>
      </c>
      <c r="E52" s="31">
        <v>1150</v>
      </c>
      <c r="F52" s="19"/>
    </row>
    <row r="53" spans="1:6">
      <c r="A53" s="19"/>
      <c r="B53" s="28" t="s">
        <v>43</v>
      </c>
      <c r="C53" s="29">
        <v>548.09199999999998</v>
      </c>
      <c r="D53" s="30"/>
      <c r="E53" s="31"/>
      <c r="F53" s="19"/>
    </row>
    <row r="54" spans="1:6" ht="30">
      <c r="A54" s="19"/>
      <c r="B54" s="32" t="s">
        <v>44</v>
      </c>
      <c r="C54" s="29">
        <v>455.75744400000002</v>
      </c>
      <c r="D54" s="30">
        <v>300</v>
      </c>
      <c r="E54" s="31">
        <v>300</v>
      </c>
      <c r="F54" s="19"/>
    </row>
    <row r="55" spans="1:6" s="27" customFormat="1" ht="30">
      <c r="A55" s="22">
        <v>8</v>
      </c>
      <c r="B55" s="23" t="s">
        <v>45</v>
      </c>
      <c r="C55" s="24">
        <f>SUM(C56:C60)+C63+C66+C69</f>
        <v>32570.810492000001</v>
      </c>
      <c r="D55" s="25">
        <f>SUM(D56:D60)+D63+D66+D69</f>
        <v>51750</v>
      </c>
      <c r="E55" s="26">
        <f>SUM(E56:E60)+E63+E66+E69</f>
        <v>37376</v>
      </c>
      <c r="F55" s="22">
        <f>SUM(F56:F60)+F63+F66+F69</f>
        <v>0</v>
      </c>
    </row>
    <row r="56" spans="1:6">
      <c r="A56" s="19"/>
      <c r="B56" s="28" t="s">
        <v>46</v>
      </c>
      <c r="C56" s="29"/>
      <c r="D56" s="30"/>
      <c r="E56" s="31"/>
      <c r="F56" s="19"/>
    </row>
    <row r="57" spans="1:6">
      <c r="A57" s="19"/>
      <c r="B57" s="28" t="s">
        <v>47</v>
      </c>
      <c r="C57" s="29">
        <v>16.72174</v>
      </c>
      <c r="D57" s="30">
        <v>30</v>
      </c>
      <c r="E57" s="31">
        <v>30</v>
      </c>
      <c r="F57" s="19"/>
    </row>
    <row r="58" spans="1:6">
      <c r="A58" s="19"/>
      <c r="B58" s="28" t="s">
        <v>48</v>
      </c>
      <c r="C58" s="29">
        <v>256.92678100000001</v>
      </c>
      <c r="D58" s="30">
        <v>1720</v>
      </c>
      <c r="E58" s="31">
        <v>1750</v>
      </c>
      <c r="F58" s="19"/>
    </row>
    <row r="59" spans="1:6">
      <c r="A59" s="19"/>
      <c r="B59" s="28" t="s">
        <v>49</v>
      </c>
      <c r="C59" s="29">
        <v>32297.161971000001</v>
      </c>
      <c r="D59" s="30">
        <v>50000</v>
      </c>
      <c r="E59" s="31">
        <v>35596</v>
      </c>
      <c r="F59" s="19"/>
    </row>
    <row r="60" spans="1:6">
      <c r="A60" s="19"/>
      <c r="B60" s="28" t="s">
        <v>50</v>
      </c>
      <c r="C60" s="29"/>
      <c r="D60" s="30"/>
      <c r="E60" s="31"/>
      <c r="F60" s="19"/>
    </row>
    <row r="61" spans="1:6" ht="30">
      <c r="A61" s="19"/>
      <c r="B61" s="32" t="s">
        <v>51</v>
      </c>
      <c r="C61" s="29"/>
      <c r="D61" s="30"/>
      <c r="E61" s="31"/>
      <c r="F61" s="19"/>
    </row>
    <row r="62" spans="1:6" ht="30">
      <c r="A62" s="19"/>
      <c r="B62" s="32" t="s">
        <v>52</v>
      </c>
      <c r="C62" s="29">
        <f>C59</f>
        <v>32297.161971000001</v>
      </c>
      <c r="D62" s="30"/>
      <c r="E62" s="31">
        <v>35596</v>
      </c>
      <c r="F62" s="19"/>
    </row>
    <row r="63" spans="1:6" ht="45">
      <c r="A63" s="19"/>
      <c r="B63" s="28" t="s">
        <v>53</v>
      </c>
      <c r="C63" s="29"/>
      <c r="D63" s="30"/>
      <c r="E63" s="31"/>
      <c r="F63" s="19"/>
    </row>
    <row r="64" spans="1:6" ht="30">
      <c r="A64" s="19"/>
      <c r="B64" s="32" t="s">
        <v>54</v>
      </c>
      <c r="C64" s="29"/>
      <c r="D64" s="30"/>
      <c r="E64" s="31"/>
      <c r="F64" s="19"/>
    </row>
    <row r="65" spans="1:6" ht="30">
      <c r="A65" s="19"/>
      <c r="B65" s="32" t="s">
        <v>55</v>
      </c>
      <c r="C65" s="29"/>
      <c r="D65" s="30"/>
      <c r="E65" s="31"/>
      <c r="F65" s="19"/>
    </row>
    <row r="66" spans="1:6" ht="45">
      <c r="A66" s="19"/>
      <c r="B66" s="28" t="s">
        <v>56</v>
      </c>
      <c r="C66" s="29"/>
      <c r="D66" s="30"/>
      <c r="E66" s="31"/>
      <c r="F66" s="19"/>
    </row>
    <row r="67" spans="1:6" ht="30">
      <c r="A67" s="19"/>
      <c r="B67" s="32" t="s">
        <v>57</v>
      </c>
      <c r="C67" s="29"/>
      <c r="D67" s="30"/>
      <c r="E67" s="31"/>
      <c r="F67" s="19"/>
    </row>
    <row r="68" spans="1:6" ht="30">
      <c r="A68" s="19"/>
      <c r="B68" s="32" t="s">
        <v>58</v>
      </c>
      <c r="C68" s="29"/>
      <c r="D68" s="30"/>
      <c r="E68" s="31"/>
      <c r="F68" s="19"/>
    </row>
    <row r="69" spans="1:6" ht="30">
      <c r="A69" s="19"/>
      <c r="B69" s="28" t="s">
        <v>59</v>
      </c>
      <c r="C69" s="29"/>
      <c r="D69" s="30"/>
      <c r="E69" s="31"/>
      <c r="F69" s="19"/>
    </row>
    <row r="70" spans="1:6" s="27" customFormat="1">
      <c r="A70" s="22">
        <v>9</v>
      </c>
      <c r="B70" s="23" t="s">
        <v>60</v>
      </c>
      <c r="C70" s="24"/>
      <c r="D70" s="25"/>
      <c r="E70" s="26"/>
      <c r="F70" s="22"/>
    </row>
    <row r="71" spans="1:6" s="27" customFormat="1">
      <c r="A71" s="22">
        <v>10</v>
      </c>
      <c r="B71" s="23" t="s">
        <v>61</v>
      </c>
      <c r="C71" s="24">
        <v>410.76355699999999</v>
      </c>
      <c r="D71" s="25">
        <v>1380</v>
      </c>
      <c r="E71" s="26">
        <v>1228</v>
      </c>
      <c r="F71" s="22"/>
    </row>
    <row r="72" spans="1:6" ht="30">
      <c r="A72" s="19"/>
      <c r="B72" s="32" t="s">
        <v>62</v>
      </c>
      <c r="C72" s="29"/>
      <c r="D72" s="30">
        <f>400+40</f>
        <v>440</v>
      </c>
      <c r="E72" s="31">
        <f>400+71</f>
        <v>471</v>
      </c>
      <c r="F72" s="19"/>
    </row>
    <row r="73" spans="1:6" s="27" customFormat="1">
      <c r="A73" s="22">
        <v>11</v>
      </c>
      <c r="B73" s="23" t="s">
        <v>63</v>
      </c>
      <c r="C73" s="24">
        <v>167.23264900000001</v>
      </c>
      <c r="D73" s="25">
        <v>50</v>
      </c>
      <c r="E73" s="26">
        <v>121</v>
      </c>
      <c r="F73" s="22"/>
    </row>
    <row r="74" spans="1:6" ht="30">
      <c r="A74" s="19"/>
      <c r="B74" s="32" t="s">
        <v>64</v>
      </c>
      <c r="C74" s="29"/>
      <c r="D74" s="30"/>
      <c r="E74" s="31"/>
      <c r="F74" s="19"/>
    </row>
    <row r="75" spans="1:6">
      <c r="A75" s="19"/>
      <c r="B75" s="32" t="s">
        <v>65</v>
      </c>
      <c r="C75" s="29">
        <f>C73</f>
        <v>167.23264900000001</v>
      </c>
      <c r="D75" s="30">
        <v>50</v>
      </c>
      <c r="E75" s="31">
        <v>121</v>
      </c>
      <c r="F75" s="19"/>
    </row>
    <row r="76" spans="1:6" s="27" customFormat="1" ht="30">
      <c r="A76" s="22">
        <v>12</v>
      </c>
      <c r="B76" s="23" t="s">
        <v>66</v>
      </c>
      <c r="C76" s="24"/>
      <c r="D76" s="25"/>
      <c r="E76" s="26"/>
      <c r="F76" s="22"/>
    </row>
    <row r="77" spans="1:6" s="27" customFormat="1" ht="30">
      <c r="A77" s="22">
        <v>13</v>
      </c>
      <c r="B77" s="23" t="s">
        <v>67</v>
      </c>
      <c r="C77" s="24">
        <f>C78+C79</f>
        <v>0</v>
      </c>
      <c r="D77" s="25">
        <f>D78+D79</f>
        <v>0</v>
      </c>
      <c r="E77" s="26">
        <f>E78+E79</f>
        <v>0</v>
      </c>
      <c r="F77" s="22">
        <f>F78+F79</f>
        <v>0</v>
      </c>
    </row>
    <row r="78" spans="1:6">
      <c r="A78" s="19"/>
      <c r="B78" s="28" t="s">
        <v>68</v>
      </c>
      <c r="C78" s="29"/>
      <c r="D78" s="30"/>
      <c r="E78" s="31"/>
      <c r="F78" s="19"/>
    </row>
    <row r="79" spans="1:6">
      <c r="A79" s="19"/>
      <c r="B79" s="28" t="s">
        <v>69</v>
      </c>
      <c r="C79" s="29"/>
      <c r="D79" s="30"/>
      <c r="E79" s="31"/>
      <c r="F79" s="19"/>
    </row>
    <row r="80" spans="1:6">
      <c r="A80" s="17" t="s">
        <v>70</v>
      </c>
      <c r="B80" s="21" t="s">
        <v>71</v>
      </c>
      <c r="C80" s="29"/>
      <c r="D80" s="30"/>
      <c r="E80" s="31"/>
      <c r="F80" s="19"/>
    </row>
    <row r="81" spans="1:6">
      <c r="A81" s="34"/>
      <c r="B81" s="35"/>
      <c r="C81" s="36"/>
      <c r="D81" s="37"/>
      <c r="E81" s="38"/>
      <c r="F81" s="34"/>
    </row>
    <row r="82" spans="1:6">
      <c r="A82" s="1"/>
      <c r="B82"/>
      <c r="C82" s="6"/>
      <c r="D82" s="7"/>
      <c r="E82" s="8"/>
      <c r="F82"/>
    </row>
    <row r="83" spans="1:6">
      <c r="A83" s="649"/>
      <c r="B83" s="39"/>
      <c r="C83" s="6"/>
      <c r="D83" s="650" t="s">
        <v>72</v>
      </c>
      <c r="E83" s="650"/>
      <c r="F83" s="650"/>
    </row>
    <row r="84" spans="1:6">
      <c r="A84" s="649"/>
      <c r="B84" s="40"/>
      <c r="C84" s="6"/>
      <c r="D84" s="651" t="s">
        <v>73</v>
      </c>
      <c r="E84" s="651"/>
      <c r="F84" s="651"/>
    </row>
    <row r="85" spans="1:6">
      <c r="A85" s="649"/>
      <c r="B85" s="39"/>
      <c r="C85" s="6"/>
      <c r="D85" s="650" t="s">
        <v>74</v>
      </c>
      <c r="E85" s="650"/>
      <c r="F85" s="650"/>
    </row>
  </sheetData>
  <mergeCells count="11">
    <mergeCell ref="A83:A85"/>
    <mergeCell ref="D83:F83"/>
    <mergeCell ref="D84:F84"/>
    <mergeCell ref="D85:F85"/>
    <mergeCell ref="E1:F1"/>
    <mergeCell ref="A3:F3"/>
    <mergeCell ref="A6:A7"/>
    <mergeCell ref="B6:B7"/>
    <mergeCell ref="C6:C7"/>
    <mergeCell ref="D6:E6"/>
    <mergeCell ref="F6:F7"/>
  </mergeCells>
  <hyperlinks>
    <hyperlink ref="E1:F1" location="'PL tong hop'!A1" display="Mẫu biểu số 01/TT342"/>
  </hyperlink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8</vt:i4>
      </vt:variant>
    </vt:vector>
  </HeadingPairs>
  <TitlesOfParts>
    <vt:vector size="20" baseType="lpstr">
      <vt:lpstr>b01</vt:lpstr>
      <vt:lpstr>b02</vt:lpstr>
      <vt:lpstr>29.1</vt:lpstr>
      <vt:lpstr>b31</vt:lpstr>
      <vt:lpstr>32</vt:lpstr>
      <vt:lpstr>Mau 05 UB</vt:lpstr>
      <vt:lpstr>07 SNGD</vt:lpstr>
      <vt:lpstr>08 XA</vt:lpstr>
      <vt:lpstr>01</vt:lpstr>
      <vt:lpstr>02</vt:lpstr>
      <vt:lpstr>Sheet1</vt:lpstr>
      <vt:lpstr>07 THU NSX</vt:lpstr>
      <vt:lpstr>'07 THU NSX'!Print_Area</vt:lpstr>
      <vt:lpstr>'29.1'!Print_Area</vt:lpstr>
      <vt:lpstr>'32'!Print_Area</vt:lpstr>
      <vt:lpstr>'Mau 05 UB'!Print_Area</vt:lpstr>
      <vt:lpstr>'08 XA'!Print_Titles</vt:lpstr>
      <vt:lpstr>'b01'!Print_Titles</vt:lpstr>
      <vt:lpstr>'b31'!Print_Titles</vt:lpstr>
      <vt:lpstr>'Mau 05 UB'!Print_Titles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HTC</dc:creator>
  <cp:lastModifiedBy>HTC</cp:lastModifiedBy>
  <cp:lastPrinted>2021-12-14T14:42:27Z</cp:lastPrinted>
  <dcterms:created xsi:type="dcterms:W3CDTF">2021-08-10T06:01:41Z</dcterms:created>
  <dcterms:modified xsi:type="dcterms:W3CDTF">2021-12-16T13:46:55Z</dcterms:modified>
</cp:coreProperties>
</file>