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310" tabRatio="807"/>
  </bookViews>
  <sheets>
    <sheet name="Bieu 01. Tong hop 2021-2025" sheetId="1" r:id="rId1"/>
    <sheet name="Bieu 02. Chi tiet" sheetId="2" r:id="rId2"/>
    <sheet name="Bieu 03. Phan cap" sheetId="4" r:id="rId3"/>
    <sheet name="Bieu 04 thu de lai dau tu" sheetId="5" r:id="rId4"/>
    <sheet name="Bieu 05 Chuyen nguon" sheetId="10" r:id="rId5"/>
    <sheet name="Bieu 06 NS tinh" sheetId="11" r:id="rId6"/>
  </sheets>
  <definedNames>
    <definedName name="_________B1" localSheetId="1" hidden="1">{"'Sheet1'!$L$16"}</definedName>
    <definedName name="_________B1" localSheetId="3" hidden="1">{"'Sheet1'!$L$16"}</definedName>
    <definedName name="_________B1" hidden="1">{"'Sheet1'!$L$16"}</definedName>
    <definedName name="_________Pl2" localSheetId="1" hidden="1">{"'Sheet1'!$L$16"}</definedName>
    <definedName name="_________Pl2" localSheetId="3" hidden="1">{"'Sheet1'!$L$16"}</definedName>
    <definedName name="_________Pl2" hidden="1">{"'Sheet1'!$L$16"}</definedName>
    <definedName name="________NSO2" localSheetId="1" hidden="1">{"'Sheet1'!$L$16"}</definedName>
    <definedName name="________NSO2" localSheetId="3" hidden="1">{"'Sheet1'!$L$16"}</definedName>
    <definedName name="________NSO2" hidden="1">{"'Sheet1'!$L$16"}</definedName>
    <definedName name="_______B1" localSheetId="1" hidden="1">{"'Sheet1'!$L$16"}</definedName>
    <definedName name="_______B1" localSheetId="3" hidden="1">{"'Sheet1'!$L$16"}</definedName>
    <definedName name="_______B1" hidden="1">{"'Sheet1'!$L$16"}</definedName>
    <definedName name="_______Pl2" localSheetId="1" hidden="1">{"'Sheet1'!$L$16"}</definedName>
    <definedName name="_______Pl2" localSheetId="3" hidden="1">{"'Sheet1'!$L$16"}</definedName>
    <definedName name="_______Pl2" hidden="1">{"'Sheet1'!$L$16"}</definedName>
    <definedName name="_______Q3" localSheetId="1" hidden="1">{"'Sheet1'!$L$16"}</definedName>
    <definedName name="_______Q3" localSheetId="3" hidden="1">{"'Sheet1'!$L$16"}</definedName>
    <definedName name="_______Q3" hidden="1">{"'Sheet1'!$L$16"}</definedName>
    <definedName name="______B1" localSheetId="1" hidden="1">{"'Sheet1'!$L$16"}</definedName>
    <definedName name="______B1" localSheetId="3" hidden="1">{"'Sheet1'!$L$16"}</definedName>
    <definedName name="______B1" hidden="1">{"'Sheet1'!$L$16"}</definedName>
    <definedName name="______NSO2" localSheetId="1" hidden="1">{"'Sheet1'!$L$16"}</definedName>
    <definedName name="______NSO2" localSheetId="3" hidden="1">{"'Sheet1'!$L$16"}</definedName>
    <definedName name="______NSO2" hidden="1">{"'Sheet1'!$L$16"}</definedName>
    <definedName name="______Pl2" localSheetId="1" hidden="1">{"'Sheet1'!$L$16"}</definedName>
    <definedName name="______Pl2" localSheetId="3" hidden="1">{"'Sheet1'!$L$16"}</definedName>
    <definedName name="______Pl2" hidden="1">{"'Sheet1'!$L$16"}</definedName>
    <definedName name="_____B1" localSheetId="1" hidden="1">{"'Sheet1'!$L$16"}</definedName>
    <definedName name="_____B1" localSheetId="3" hidden="1">{"'Sheet1'!$L$16"}</definedName>
    <definedName name="_____B1" hidden="1">{"'Sheet1'!$L$16"}</definedName>
    <definedName name="_____NSO2" localSheetId="1" hidden="1">{"'Sheet1'!$L$16"}</definedName>
    <definedName name="_____NSO2" localSheetId="3" hidden="1">{"'Sheet1'!$L$16"}</definedName>
    <definedName name="_____NSO2" hidden="1">{"'Sheet1'!$L$16"}</definedName>
    <definedName name="_____Pl2" localSheetId="1" hidden="1">{"'Sheet1'!$L$16"}</definedName>
    <definedName name="_____Pl2" localSheetId="3" hidden="1">{"'Sheet1'!$L$16"}</definedName>
    <definedName name="_____Pl2" hidden="1">{"'Sheet1'!$L$16"}</definedName>
    <definedName name="_____Q3" localSheetId="1" hidden="1">{"'Sheet1'!$L$16"}</definedName>
    <definedName name="_____Q3" localSheetId="3" hidden="1">{"'Sheet1'!$L$16"}</definedName>
    <definedName name="_____Q3" hidden="1">{"'Sheet1'!$L$16"}</definedName>
    <definedName name="____a1" hidden="1">{"'Sheet1'!$L$16"}</definedName>
    <definedName name="____B1" localSheetId="0" hidden="1">{"'Sheet1'!$L$16"}</definedName>
    <definedName name="____B1" localSheetId="1" hidden="1">{"'Sheet1'!$L$16"}</definedName>
    <definedName name="____B1" localSheetId="3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NSO2" localSheetId="1" hidden="1">{"'Sheet1'!$L$16"}</definedName>
    <definedName name="____NSO2" localSheetId="3" hidden="1">{"'Sheet1'!$L$16"}</definedName>
    <definedName name="____NSO2" hidden="1">{"'Sheet1'!$L$16"}</definedName>
    <definedName name="____PA3" hidden="1">{"'Sheet1'!$L$16"}</definedName>
    <definedName name="____Pl2" localSheetId="0" hidden="1">{"'Sheet1'!$L$16"}</definedName>
    <definedName name="____Pl2" localSheetId="1" hidden="1">{"'Sheet1'!$L$16"}</definedName>
    <definedName name="____Pl2" localSheetId="3" hidden="1">{"'Sheet1'!$L$16"}</definedName>
    <definedName name="____Pl2" hidden="1">{"'Sheet1'!$L$16"}</definedName>
    <definedName name="____Q3" localSheetId="1" hidden="1">{"'Sheet1'!$L$16"}</definedName>
    <definedName name="____Q3" localSheetId="3" hidden="1">{"'Sheet1'!$L$16"}</definedName>
    <definedName name="____Q3" hidden="1">{"'Sheet1'!$L$16"}</definedName>
    <definedName name="____Tru21" hidden="1">{"'Sheet1'!$L$16"}</definedName>
    <definedName name="___a1" hidden="1">{"'Sheet1'!$L$16"}</definedName>
    <definedName name="___B1" localSheetId="0" hidden="1">{"'Sheet1'!$L$16"}</definedName>
    <definedName name="___B1" localSheetId="1" hidden="1">{"'Sheet1'!$L$16"}</definedName>
    <definedName name="___B1" localSheetId="3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hidden="1">{"'Sheet1'!$L$16"}</definedName>
    <definedName name="___NSO2" localSheetId="0" hidden="1">{"'Sheet1'!$L$16"}</definedName>
    <definedName name="___NSO2" localSheetId="1" hidden="1">{"'Sheet1'!$L$16"}</definedName>
    <definedName name="___NSO2" localSheetId="3" hidden="1">{"'Sheet1'!$L$16"}</definedName>
    <definedName name="___NSO2" hidden="1">{"'Sheet1'!$L$16"}</definedName>
    <definedName name="___PA3" hidden="1">{"'Sheet1'!$L$16"}</definedName>
    <definedName name="___Pl2" localSheetId="0" hidden="1">{"'Sheet1'!$L$16"}</definedName>
    <definedName name="___Pl2" localSheetId="1" hidden="1">{"'Sheet1'!$L$16"}</definedName>
    <definedName name="___Pl2" localSheetId="3" hidden="1">{"'Sheet1'!$L$16"}</definedName>
    <definedName name="___Pl2" hidden="1">{"'Sheet1'!$L$16"}</definedName>
    <definedName name="___PL3" hidden="1">#REF!</definedName>
    <definedName name="___Q3" localSheetId="1" hidden="1">{"'Sheet1'!$L$16"}</definedName>
    <definedName name="___Q3" localSheetId="3" hidden="1">{"'Sheet1'!$L$16"}</definedName>
    <definedName name="___Q3" hidden="1">{"'Sheet1'!$L$16"}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hidden="1">{"'Sheet1'!$L$16"}</definedName>
    <definedName name="__a1" hidden="1">{"'Sheet1'!$L$16"}</definedName>
    <definedName name="__a129" localSheetId="1" hidden="1">{"Offgrid",#N/A,FALSE,"OFFGRID";"Region",#N/A,FALSE,"REGION";"Offgrid -2",#N/A,FALSE,"OFFGRID";"WTP",#N/A,FALSE,"WTP";"WTP -2",#N/A,FALSE,"WTP";"Project",#N/A,FALSE,"PROJECT";"Summary -2",#N/A,FALSE,"SUMMARY"}</definedName>
    <definedName name="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1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localSheetId="1" hidden="1">{"'Sheet1'!$L$16"}</definedName>
    <definedName name="__B1" localSheetId="3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hidden="1">{"'Sheet1'!$L$16"}</definedName>
    <definedName name="__NSO2" localSheetId="0" hidden="1">{"'Sheet1'!$L$16"}</definedName>
    <definedName name="__NSO2" localSheetId="1" hidden="1">{"'Sheet1'!$L$16"}</definedName>
    <definedName name="__NSO2" localSheetId="3" hidden="1">{"'Sheet1'!$L$16"}</definedName>
    <definedName name="__NSO2" hidden="1">{"'Sheet1'!$L$16"}</definedName>
    <definedName name="__PA3" hidden="1">{"'Sheet1'!$L$16"}</definedName>
    <definedName name="__Pl2" localSheetId="0" hidden="1">{"'Sheet1'!$L$16"}</definedName>
    <definedName name="__Pl2" localSheetId="1" hidden="1">{"'Sheet1'!$L$16"}</definedName>
    <definedName name="__Pl2" localSheetId="3" hidden="1">{"'Sheet1'!$L$16"}</definedName>
    <definedName name="__Pl2" hidden="1">{"'Sheet1'!$L$16"}</definedName>
    <definedName name="__Q3" localSheetId="1" hidden="1">{"'Sheet1'!$L$16"}</definedName>
    <definedName name="__Q3" localSheetId="3" hidden="1">{"'Sheet1'!$L$16"}</definedName>
    <definedName name="__Q3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hidden="1">{"'Sheet1'!$L$16"}</definedName>
    <definedName name="_40x4">5100</definedName>
    <definedName name="_a1" hidden="1">{"'Sheet1'!$L$16"}</definedName>
    <definedName name="_a129" localSheetId="1" hidden="1">{"Offgrid",#N/A,FALSE,"OFFGRID";"Region",#N/A,FALSE,"REGION";"Offgrid -2",#N/A,FALSE,"OFFGRID";"WTP",#N/A,FALSE,"WTP";"WTP -2",#N/A,FALSE,"WTP";"Project",#N/A,FALSE,"PROJECT";"Summary -2",#N/A,FALSE,"SUMMARY"}</definedName>
    <definedName name="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1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B1" localSheetId="0" hidden="1">{"'Sheet1'!$L$16"}</definedName>
    <definedName name="_B1" localSheetId="1" hidden="1">{"'Sheet1'!$L$16"}</definedName>
    <definedName name="_B1" localSheetId="3" hidden="1">{"'Sheet1'!$L$16"}</definedName>
    <definedName name="_B1" hidden="1">{"'Sheet1'!$L$16"}</definedName>
    <definedName name="_ban2" hidden="1">{"'Sheet1'!$L$16"}</definedName>
    <definedName name="_Fill" localSheetId="0" hidden="1">#REF!</definedName>
    <definedName name="_Fill" localSheetId="1" hidden="1">#REF!</definedName>
    <definedName name="_Fill" localSheetId="3" hidden="1">#REF!</definedName>
    <definedName name="_Fill" hidden="1">#REF!</definedName>
    <definedName name="_xlnm._FilterDatabase" localSheetId="0" hidden="1">#REF!</definedName>
    <definedName name="_xlnm._FilterDatabase" localSheetId="1" hidden="1">'Bieu 02. Chi tiet'!$B$7:$AA$121</definedName>
    <definedName name="_xlnm._FilterDatabase" localSheetId="3" hidden="1">'Bieu 04 thu de lai dau tu'!$B$10:$V$18</definedName>
    <definedName name="_xlnm._FilterDatabase" hidden="1">#REF!</definedName>
    <definedName name="_ftn1" localSheetId="0">'Bieu 01. Tong hop 2021-2025'!#REF!</definedName>
    <definedName name="_ftnref1" localSheetId="0">'Bieu 01. Tong hop 2021-2025'!#REF!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0" hidden="1">#REF!</definedName>
    <definedName name="_Key1" localSheetId="1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3" hidden="1">#REF!</definedName>
    <definedName name="_Key2" hidden="1">#REF!</definedName>
    <definedName name="_M36" hidden="1">{"'Sheet1'!$L$16"}</definedName>
    <definedName name="_NSO2" localSheetId="0" hidden="1">{"'Sheet1'!$L$16"}</definedName>
    <definedName name="_NSO2" localSheetId="1" hidden="1">{"'Sheet1'!$L$16"}</definedName>
    <definedName name="_NSO2" localSheetId="3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localSheetId="0" hidden="1">{"'Sheet1'!$L$16"}</definedName>
    <definedName name="_Pl2" localSheetId="1" hidden="1">{"'Sheet1'!$L$16"}</definedName>
    <definedName name="_Pl2" localSheetId="3" hidden="1">{"'Sheet1'!$L$16"}</definedName>
    <definedName name="_Pl2" hidden="1">{"'Sheet1'!$L$16"}</definedName>
    <definedName name="_PL3" hidden="1">#REF!</definedName>
    <definedName name="_Q3" localSheetId="1" hidden="1">{"'Sheet1'!$L$16"}</definedName>
    <definedName name="_Q3" localSheetId="3" hidden="1">{"'Sheet1'!$L$16"}</definedName>
    <definedName name="_Q3" hidden="1">{"'Sheet1'!$L$16"}</definedName>
    <definedName name="_SOC10">0.3456</definedName>
    <definedName name="_SOC8">0.2827</definedName>
    <definedName name="_Sort" localSheetId="0" hidden="1">#REF!</definedName>
    <definedName name="_Sort" localSheetId="1" hidden="1">#REF!</definedName>
    <definedName name="_Sort" localSheetId="3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hidden="1">{"'Sheet1'!$L$16"}</definedName>
    <definedName name="a" localSheetId="0" hidden="1">{"'Sheet1'!$L$16"}</definedName>
    <definedName name="a" localSheetId="1" hidden="1">{"'Sheet1'!$L$16"}</definedName>
    <definedName name="a" localSheetId="3" hidden="1">{"'Sheet1'!$L$16"}</definedName>
    <definedName name="a" hidden="1">{"'Sheet1'!$L$16"}</definedName>
    <definedName name="ABC" hidden="1">#REF!</definedName>
    <definedName name="anscount" localSheetId="0" hidden="1">1</definedName>
    <definedName name="anscount" localSheetId="1" hidden="1">1</definedName>
    <definedName name="anscount" localSheetId="3" hidden="1">1</definedName>
    <definedName name="anscount" hidden="1">3</definedName>
    <definedName name="ATGT" hidden="1">{"'Sheet1'!$L$16"}</definedName>
    <definedName name="B.nuamat">7.25</definedName>
    <definedName name="bdd">1.5</definedName>
    <definedName name="Bgiang" localSheetId="1" hidden="1">{"'Sheet1'!$L$16"}</definedName>
    <definedName name="Bgiang" localSheetId="3" hidden="1">{"'Sheet1'!$L$16"}</definedName>
    <definedName name="Bgiang" hidden="1">{"'Sheet1'!$L$16"}</definedName>
    <definedName name="Bm">3.5</definedName>
    <definedName name="Bn">6.5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hidden="1">{"'Sheet1'!$L$16"}</definedName>
    <definedName name="chl" localSheetId="1" hidden="1">{"'Sheet1'!$L$16"}</definedName>
    <definedName name="chl" localSheetId="3" hidden="1">{"'Sheet1'!$L$16"}</definedName>
    <definedName name="chl" hidden="1">{"'Sheet1'!$L$16"}</definedName>
    <definedName name="chung">66</definedName>
    <definedName name="CLVC3">0.1</definedName>
    <definedName name="CoCauN" hidden="1">{"'Sheet1'!$L$16"}</definedName>
    <definedName name="Code" localSheetId="0" hidden="1">#REF!</definedName>
    <definedName name="Code" localSheetId="1" hidden="1">#REF!</definedName>
    <definedName name="Code" localSheetId="3" hidden="1">#REF!</definedName>
    <definedName name="Code" hidden="1">#REF!</definedName>
    <definedName name="Cotsatma">9726</definedName>
    <definedName name="Cotthepma">9726</definedName>
    <definedName name="CP" hidden="1">#REF!</definedName>
    <definedName name="CTCT1" hidden="1">{"'Sheet1'!$L$16"}</definedName>
    <definedName name="d" localSheetId="1" hidden="1">{"'Sheet1'!$L$16"}</definedName>
    <definedName name="d" localSheetId="3" hidden="1">{"'Sheet1'!$L$16"}</definedName>
    <definedName name="d" hidden="1">{"'Sheet1'!$L$16"}</definedName>
    <definedName name="dam">78000</definedName>
    <definedName name="data1" localSheetId="0" hidden="1">#REF!</definedName>
    <definedName name="data1" localSheetId="1" hidden="1">#REF!</definedName>
    <definedName name="data1" localSheetId="3" hidden="1">#REF!</definedName>
    <definedName name="data1" hidden="1">#REF!</definedName>
    <definedName name="data2" localSheetId="0" hidden="1">#REF!</definedName>
    <definedName name="data2" localSheetId="1" hidden="1">#REF!</definedName>
    <definedName name="data2" localSheetId="3" hidden="1">#REF!</definedName>
    <definedName name="data2" hidden="1">#REF!</definedName>
    <definedName name="data3" localSheetId="0" hidden="1">#REF!</definedName>
    <definedName name="data3" localSheetId="1" hidden="1">#REF!</definedName>
    <definedName name="data3" localSheetId="3" hidden="1">#REF!</definedName>
    <definedName name="data3" hidden="1">#REF!</definedName>
    <definedName name="DCL_22">12117600</definedName>
    <definedName name="DCL_35">25490000</definedName>
    <definedName name="dđ" localSheetId="1" hidden="1">{"'Sheet1'!$L$16"}</definedName>
    <definedName name="dđ" localSheetId="3" hidden="1">{"'Sheet1'!$L$16"}</definedName>
    <definedName name="dđ" hidden="1">{"'Sheet1'!$L$16"}</definedName>
    <definedName name="ddddd" localSheetId="1" hidden="1">{"'Sheet1'!$L$16"}</definedName>
    <definedName name="ddddd" localSheetId="3" hidden="1">{"'Sheet1'!$L$16"}</definedName>
    <definedName name="ddddd" hidden="1">{"'Sheet1'!$L$16"}</definedName>
    <definedName name="dddem">0.1</definedName>
    <definedName name="DFSDF" localSheetId="1" hidden="1">{"'Sheet1'!$L$16"}</definedName>
    <definedName name="DFSDF" localSheetId="3" hidden="1">{"'Sheet1'!$L$16"}</definedName>
    <definedName name="DFSDF" hidden="1">{"'Sheet1'!$L$16"}</definedName>
    <definedName name="dgj" localSheetId="1" hidden="1">{#N/A,#N/A,FALSE,"BN"}</definedName>
    <definedName name="dgj" localSheetId="3" hidden="1">{#N/A,#N/A,FALSE,"BN"}</definedName>
    <definedName name="dgj" hidden="1">{#N/A,#N/A,FALSE,"BN"}</definedName>
    <definedName name="dien" localSheetId="1" hidden="1">{"'Sheet1'!$L$16"}</definedName>
    <definedName name="dien" localSheetId="3" hidden="1">{"'Sheet1'!$L$16"}</definedName>
    <definedName name="dien" hidden="1">{"'Sheet1'!$L$16"}</definedName>
    <definedName name="Discount" localSheetId="0" hidden="1">#REF!</definedName>
    <definedName name="Discount" localSheetId="1" hidden="1">#REF!</definedName>
    <definedName name="Discount" localSheetId="3" hidden="1">#REF!</definedName>
    <definedName name="Discount" hidden="1">#REF!</definedName>
    <definedName name="display_area_2" localSheetId="0" hidden="1">#REF!</definedName>
    <definedName name="display_area_2" localSheetId="1" hidden="1">#REF!</definedName>
    <definedName name="display_area_2" localSheetId="3" hidden="1">#REF!</definedName>
    <definedName name="display_area_2" hidden="1">#REF!</definedName>
    <definedName name="docdoc">0.03125</definedName>
    <definedName name="dotcong">1</definedName>
    <definedName name="drf" hidden="1">#REF!</definedName>
    <definedName name="ds" hidden="1">{#N/A,#N/A,FALSE,"Chi tiÆt"}</definedName>
    <definedName name="dsh" localSheetId="0" hidden="1">#REF!</definedName>
    <definedName name="dsh" localSheetId="1" hidden="1">#REF!</definedName>
    <definedName name="dsh" localSheetId="3" hidden="1">#REF!</definedName>
    <definedName name="dsh" hidden="1">#REF!</definedName>
    <definedName name="Duongnaco" localSheetId="1" hidden="1">{"'Sheet1'!$L$16"}</definedName>
    <definedName name="Duongnaco" localSheetId="3" hidden="1">{"'Sheet1'!$L$16"}</definedName>
    <definedName name="Duongnaco" hidden="1">{"'Sheet1'!$L$16"}</definedName>
    <definedName name="E" localSheetId="1" hidden="1">{#N/A,#N/A,FALSE,"BN (2)"}</definedName>
    <definedName name="E" localSheetId="3" hidden="1">{#N/A,#N/A,FALSE,"BN (2)"}</definedName>
    <definedName name="E" hidden="1">{#N/A,#N/A,FALSE,"BN (2)"}</definedName>
    <definedName name="E.chandoc">8.875</definedName>
    <definedName name="E.PC">10.438</definedName>
    <definedName name="E.PVI">12</definedName>
    <definedName name="f" localSheetId="1" hidden="1">{"'Sheet1'!$L$16"}</definedName>
    <definedName name="f" localSheetId="3" hidden="1">{"'Sheet1'!$L$16"}</definedName>
    <definedName name="f" hidden="1">{"'Sheet1'!$L$16"}</definedName>
    <definedName name="FCode" localSheetId="0" hidden="1">#REF!</definedName>
    <definedName name="FCode" localSheetId="1" hidden="1">#REF!</definedName>
    <definedName name="FCode" localSheetId="3" hidden="1">#REF!</definedName>
    <definedName name="FCode" hidden="1">#REF!</definedName>
    <definedName name="fff" localSheetId="1" hidden="1">{"'Sheet1'!$L$16"}</definedName>
    <definedName name="fff" localSheetId="3" hidden="1">{"'Sheet1'!$L$16"}</definedName>
    <definedName name="fff" hidden="1">{"'Sheet1'!$L$16"}</definedName>
    <definedName name="FI_12">4820</definedName>
    <definedName name="g" localSheetId="0" hidden="1">{"'Sheet1'!$L$16"}</definedName>
    <definedName name="g" localSheetId="1" hidden="1">{"'Sheet1'!$L$16"}</definedName>
    <definedName name="g" localSheetId="3" hidden="1">{"'Sheet1'!$L$16"}</definedName>
    <definedName name="g" hidden="1">{"'Sheet1'!$L$16"}</definedName>
    <definedName name="gf" localSheetId="1" hidden="1">{"'Sheet1'!$L$16"}</definedName>
    <definedName name="gf" localSheetId="3" hidden="1">{"'Sheet1'!$L$16"}</definedName>
    <definedName name="gf" hidden="1">{"'Sheet1'!$L$16"}</definedName>
    <definedName name="gff" localSheetId="1" hidden="1">{"'Sheet1'!$L$16"}</definedName>
    <definedName name="gff" localSheetId="3" hidden="1">{"'Sheet1'!$L$16"}</definedName>
    <definedName name="gff" hidden="1">{"'Sheet1'!$L$16"}</definedName>
    <definedName name="gh" localSheetId="1" hidden="1">{"'Sheet1'!$L$16"}</definedName>
    <definedName name="gh" localSheetId="3" hidden="1">{"'Sheet1'!$L$16"}</definedName>
    <definedName name="gh" hidden="1">{"'Sheet1'!$L$16"}</definedName>
    <definedName name="h" localSheetId="0" hidden="1">{"'Sheet1'!$L$16"}</definedName>
    <definedName name="h" localSheetId="1" hidden="1">{"'Sheet1'!$L$16"}</definedName>
    <definedName name="h" localSheetId="3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iddenRows" localSheetId="0" hidden="1">#REF!</definedName>
    <definedName name="HiddenRows" localSheetId="1" hidden="1">#REF!</definedName>
    <definedName name="HiddenRows" localSheetId="3" hidden="1">#REF!</definedName>
    <definedName name="HiddenRows" hidden="1">#REF!</definedName>
    <definedName name="hoc">55000</definedName>
    <definedName name="hrr" localSheetId="1" hidden="1">{"'Sheet1'!$L$16"}</definedName>
    <definedName name="hrr" localSheetId="3" hidden="1">{"'Sheet1'!$L$16"}</definedName>
    <definedName name="hrr" hidden="1">{"'Sheet1'!$L$16"}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vl">1</definedName>
    <definedName name="hsvl2">1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localSheetId="0" hidden="1">{"'Sheet1'!$L$16"}</definedName>
    <definedName name="huy" localSheetId="1" hidden="1">{"'Sheet1'!$L$16"}</definedName>
    <definedName name="huy" localSheetId="3" hidden="1">{"'Sheet1'!$L$16"}</definedName>
    <definedName name="huy" hidden="1">{"'Sheet1'!$L$16"}</definedName>
    <definedName name="j" localSheetId="0" hidden="1">{"'Sheet1'!$L$16"}</definedName>
    <definedName name="j" localSheetId="1" hidden="1">{"'Sheet1'!$L$16"}</definedName>
    <definedName name="j" localSheetId="3" hidden="1">{"'Sheet1'!$L$16"}</definedName>
    <definedName name="j" hidden="1">{"'Sheet1'!$L$16"}</definedName>
    <definedName name="k" localSheetId="0" hidden="1">{"'Sheet1'!$L$16"}</definedName>
    <definedName name="k" localSheetId="1" hidden="1">{"'Sheet1'!$L$16"}</definedName>
    <definedName name="k" localSheetId="3" hidden="1">{"'Sheet1'!$L$16"}</definedName>
    <definedName name="k" hidden="1">{"'Sheet1'!$L$16"}</definedName>
    <definedName name="khac">2</definedName>
    <definedName name="khongtruotgia" localSheetId="0" hidden="1">{"'Sheet1'!$L$16"}</definedName>
    <definedName name="khongtruotgia" localSheetId="1" hidden="1">{"'Sheet1'!$L$16"}</definedName>
    <definedName name="khongtruotgia" localSheetId="3" hidden="1">{"'Sheet1'!$L$16"}</definedName>
    <definedName name="khongtruotgia" hidden="1">{"'Sheet1'!$L$16"}</definedName>
    <definedName name="kjy" localSheetId="1" hidden="1">{"'Sheet1'!$L$16"}</definedName>
    <definedName name="kjy" localSheetId="3" hidden="1">{"'Sheet1'!$L$16"}</definedName>
    <definedName name="kjy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" localSheetId="0" hidden="1">{"'Sheet1'!$L$16"}</definedName>
    <definedName name="l" localSheetId="1" hidden="1">{"'Sheet1'!$L$16"}</definedName>
    <definedName name="l" localSheetId="3" hidden="1">{"'Sheet1'!$L$16"}</definedName>
    <definedName name="l" hidden="1">{"'Sheet1'!$L$16"}</definedName>
    <definedName name="L63x6">5800</definedName>
    <definedName name="lan" localSheetId="1" hidden="1">{#N/A,#N/A,TRUE,"BT M200 da 10x20"}</definedName>
    <definedName name="lan" localSheetId="3" hidden="1">{#N/A,#N/A,TRUE,"BT M200 da 10x20"}</definedName>
    <definedName name="lan" hidden="1">{#N/A,#N/A,TRUE,"BT M200 da 10x20"}</definedName>
    <definedName name="langson" hidden="1">{"'Sheet1'!$L$16"}</definedName>
    <definedName name="LBS_22">107800000</definedName>
    <definedName name="lk" localSheetId="0" hidden="1">#REF!</definedName>
    <definedName name="lk" localSheetId="1" hidden="1">#REF!</definedName>
    <definedName name="lk" localSheetId="3" hidden="1">#REF!</definedName>
    <definedName name="lk" hidden="1">#REF!</definedName>
    <definedName name="lồn" localSheetId="1" hidden="1">{"'Sheet1'!$L$16"}</definedName>
    <definedName name="lồn" localSheetId="3" hidden="1">{"'Sheet1'!$L$16"}</definedName>
    <definedName name="lồn" hidden="1">{"'Sheet1'!$L$16"}</definedName>
    <definedName name="m" localSheetId="0" hidden="1">{"'Sheet1'!$L$16"}</definedName>
    <definedName name="m" localSheetId="1" hidden="1">{"'Sheet1'!$L$16"}</definedName>
    <definedName name="m" localSheetId="3" hidden="1">{"'Sheet1'!$L$16"}</definedName>
    <definedName name="m" hidden="1">{"'Sheet1'!$L$16"}</definedName>
    <definedName name="mo" hidden="1">{"'Sheet1'!$L$16"}</definedName>
    <definedName name="moi" hidden="1">{"'Sheet1'!$L$16"}</definedName>
    <definedName name="n" localSheetId="0" hidden="1">{"'Sheet1'!$L$16"}</definedName>
    <definedName name="n" localSheetId="1" hidden="1">{"'Sheet1'!$L$16"}</definedName>
    <definedName name="n" localSheetId="3" hidden="1">{"'Sheet1'!$L$16"}</definedName>
    <definedName name="n" hidden="1">{"'Sheet1'!$L$16"}</definedName>
    <definedName name="ngu" localSheetId="1" hidden="1">{"'Sheet1'!$L$16"}</definedName>
    <definedName name="ngu" localSheetId="3" hidden="1">{"'Sheet1'!$L$16"}</definedName>
    <definedName name="ngu" hidden="1">{"'Sheet1'!$L$16"}</definedName>
    <definedName name="NSTW" localSheetId="0" hidden="1">#REF!</definedName>
    <definedName name="NSTW" localSheetId="1" hidden="1">#REF!</definedName>
    <definedName name="NSTW" localSheetId="3" hidden="1">#REF!</definedName>
    <definedName name="NSTW" hidden="1">#REF!</definedName>
    <definedName name="o" localSheetId="1" hidden="1">{"'Sheet1'!$L$16"}</definedName>
    <definedName name="o" localSheetId="3" hidden="1">{"'Sheet1'!$L$16"}</definedName>
    <definedName name="o" hidden="1">{"'Sheet1'!$L$16"}</definedName>
    <definedName name="OrderTable" localSheetId="0" hidden="1">#REF!</definedName>
    <definedName name="OrderTable" localSheetId="1" hidden="1">#REF!</definedName>
    <definedName name="OrderTable" localSheetId="3" hidden="1">#REF!</definedName>
    <definedName name="OrderTable" hidden="1">#REF!</definedName>
    <definedName name="PAIII_" hidden="1">{"'Sheet1'!$L$16"}</definedName>
    <definedName name="PMS" hidden="1">{"'Sheet1'!$L$16"}</definedName>
    <definedName name="_xlnm.Print_Area" localSheetId="0">'Bieu 01. Tong hop 2021-2025'!$A$1:$I$18</definedName>
    <definedName name="_xlnm.Print_Area" localSheetId="1">'Bieu 02. Chi tiet'!$B$1:$AA$121</definedName>
    <definedName name="_xlnm.Print_Area" localSheetId="2">'Bieu 03. Phan cap'!$A$1:$J$8</definedName>
    <definedName name="_xlnm.Print_Area" localSheetId="3">'Bieu 04 thu de lai dau tu'!$B$1:$V$36</definedName>
    <definedName name="_xlnm.Print_Area" localSheetId="4">'Bieu 05 Chuyen nguon'!$B$1:$Y$19</definedName>
    <definedName name="_xlnm.Print_Area" localSheetId="5">'Bieu 06 NS tinh'!$B$1:$Y$20</definedName>
    <definedName name="_xlnm.Print_Titles" localSheetId="0">'Bieu 01. Tong hop 2021-2025'!$4:$6</definedName>
    <definedName name="_xlnm.Print_Titles" localSheetId="1">'Bieu 02. Chi tiet'!$4:$6</definedName>
    <definedName name="_xlnm.Print_Titles" localSheetId="3">'Bieu 04 thu de lai dau tu'!$4:$9</definedName>
    <definedName name="ProdForm" localSheetId="0" hidden="1">#REF!</definedName>
    <definedName name="ProdForm" localSheetId="1" hidden="1">#REF!</definedName>
    <definedName name="ProdForm" localSheetId="3" hidden="1">#REF!</definedName>
    <definedName name="ProdForm" hidden="1">#REF!</definedName>
    <definedName name="Product" localSheetId="0" hidden="1">#REF!</definedName>
    <definedName name="Product" localSheetId="1" hidden="1">#REF!</definedName>
    <definedName name="Product" localSheetId="3" hidden="1">#REF!</definedName>
    <definedName name="Product" hidden="1">#REF!</definedName>
    <definedName name="rate">14000</definedName>
    <definedName name="RCArea" localSheetId="0" hidden="1">#REF!</definedName>
    <definedName name="RCArea" localSheetId="1" hidden="1">#REF!</definedName>
    <definedName name="RCArea" localSheetId="3" hidden="1">#REF!</definedName>
    <definedName name="RCArea" hidden="1">#REF!</definedName>
    <definedName name="S.dinh">640</definedName>
    <definedName name="sas" localSheetId="1" hidden="1">{"'Sheet1'!$L$16"}</definedName>
    <definedName name="sas" localSheetId="3" hidden="1">{"'Sheet1'!$L$16"}</definedName>
    <definedName name="sas" hidden="1">{"'Sheet1'!$L$16"}</definedName>
    <definedName name="sencount" hidden="1">2</definedName>
    <definedName name="Spanner_Auto_File">"C:\My Documents\tinh cdo.x2a"</definedName>
    <definedName name="SpecialPrice" localSheetId="0" hidden="1">#REF!</definedName>
    <definedName name="SpecialPrice" localSheetId="1" hidden="1">#REF!</definedName>
    <definedName name="SpecialPrice" localSheetId="3" hidden="1">#REF!</definedName>
    <definedName name="SpecialPrice" hidden="1">#REF!</definedName>
    <definedName name="SS" localSheetId="1" hidden="1">{"'Sheet1'!$L$16"}</definedName>
    <definedName name="SS" localSheetId="3" hidden="1">{"'Sheet1'!$L$16"}</definedName>
    <definedName name="SS" hidden="1">{"'Sheet1'!$L$16"}</definedName>
    <definedName name="t" localSheetId="0" hidden="1">{"'Sheet1'!$L$16"}</definedName>
    <definedName name="t" localSheetId="1" hidden="1">{"'Sheet1'!$L$16"}</definedName>
    <definedName name="t" localSheetId="3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0" hidden="1">#REF!</definedName>
    <definedName name="tbl_ProdInfo" localSheetId="1" hidden="1">#REF!</definedName>
    <definedName name="tbl_ProdInfo" localSheetId="3" hidden="1">#REF!</definedName>
    <definedName name="tbl_ProdInfo" hidden="1">#REF!</definedName>
    <definedName name="tha" localSheetId="0" hidden="1">{"'Sheet1'!$L$16"}</definedName>
    <definedName name="tha" localSheetId="1" hidden="1">{"'Sheet1'!$L$16"}</definedName>
    <definedName name="tha" localSheetId="3" hidden="1">{"'Sheet1'!$L$16"}</definedName>
    <definedName name="tha" hidden="1">{"'Sheet1'!$L$16"}</definedName>
    <definedName name="thang10" localSheetId="1" hidden="1">{"'Sheet1'!$L$16"}</definedName>
    <definedName name="thang10" localSheetId="3" hidden="1">{"'Sheet1'!$L$16"}</definedName>
    <definedName name="thang10" hidden="1">{"'Sheet1'!$L$16"}</definedName>
    <definedName name="thepma">10500</definedName>
    <definedName name="thu" localSheetId="1" hidden="1">{"'Sheet1'!$L$16"}</definedName>
    <definedName name="thu" localSheetId="3" hidden="1">{"'Sheet1'!$L$16"}</definedName>
    <definedName name="thu" hidden="1">{"'Sheet1'!$L$16"}</definedName>
    <definedName name="thue">6</definedName>
    <definedName name="thuy" localSheetId="1" hidden="1">{"'Sheet1'!$L$16"}</definedName>
    <definedName name="thuy" localSheetId="3" hidden="1">{"'Sheet1'!$L$16"}</definedName>
    <definedName name="thuy" hidden="1">{"'Sheet1'!$L$16"}</definedName>
    <definedName name="Tiepdiama">9500</definedName>
    <definedName name="TPCP" localSheetId="0" hidden="1">#REF!</definedName>
    <definedName name="TPCP" localSheetId="1" hidden="1">#REF!</definedName>
    <definedName name="TPCP" localSheetId="3" hidden="1">#REF!</definedName>
    <definedName name="TPCP" hidden="1">#REF!</definedName>
    <definedName name="ttttt" localSheetId="0" hidden="1">{"'Sheet1'!$L$16"}</definedName>
    <definedName name="ttttt" localSheetId="1" hidden="1">{"'Sheet1'!$L$16"}</definedName>
    <definedName name="ttttt" localSheetId="3" hidden="1">{"'Sheet1'!$L$16"}</definedName>
    <definedName name="ttttt" hidden="1">{"'Sheet1'!$L$16"}</definedName>
    <definedName name="TTTTTTTTT" localSheetId="0" hidden="1">{"'Sheet1'!$L$16"}</definedName>
    <definedName name="TTTTTTTTT" localSheetId="1" hidden="1">{"'Sheet1'!$L$16"}</definedName>
    <definedName name="TTTTTTTTT" localSheetId="3" hidden="1">{"'Sheet1'!$L$16"}</definedName>
    <definedName name="TTTTTTTTT" hidden="1">{"'Sheet1'!$L$16"}</definedName>
    <definedName name="ttttttttttt" localSheetId="0" hidden="1">{"'Sheet1'!$L$16"}</definedName>
    <definedName name="ttttttttttt" localSheetId="1" hidden="1">{"'Sheet1'!$L$16"}</definedName>
    <definedName name="ttttttttttt" localSheetId="3" hidden="1">{"'Sheet1'!$L$16"}</definedName>
    <definedName name="ttttttttttt" hidden="1">{"'Sheet1'!$L$16"}</definedName>
    <definedName name="tttttttttttt" localSheetId="1" hidden="1">{"'Sheet1'!$L$16"}</definedName>
    <definedName name="tttttttttttt" localSheetId="3" hidden="1">{"'Sheet1'!$L$16"}</definedName>
    <definedName name="tttttttttttt" hidden="1">{"'Sheet1'!$L$16"}</definedName>
    <definedName name="tuyennhanh" hidden="1">{"'Sheet1'!$L$16"}</definedName>
    <definedName name="u" localSheetId="0" hidden="1">{"'Sheet1'!$L$16"}</definedName>
    <definedName name="u" localSheetId="1" hidden="1">{"'Sheet1'!$L$16"}</definedName>
    <definedName name="u" localSheetId="3" hidden="1">{"'Sheet1'!$L$16"}</definedName>
    <definedName name="u" hidden="1">{"'Sheet1'!$L$16"}</definedName>
    <definedName name="ư" localSheetId="0" hidden="1">{"'Sheet1'!$L$16"}</definedName>
    <definedName name="ư" localSheetId="1" hidden="1">{"'Sheet1'!$L$16"}</definedName>
    <definedName name="ư" localSheetId="3" hidden="1">{"'Sheet1'!$L$16"}</definedName>
    <definedName name="ư" hidden="1">{"'Sheet1'!$L$16"}</definedName>
    <definedName name="ươpkhgbvcxz" localSheetId="1" hidden="1">{"'Sheet1'!$L$16"}</definedName>
    <definedName name="ươpkhgbvcxz" localSheetId="3" hidden="1">{"'Sheet1'!$L$16"}</definedName>
    <definedName name="ươpkhgbvcxz" hidden="1">{"'Sheet1'!$L$16"}</definedName>
    <definedName name="v" localSheetId="0" hidden="1">{"'Sheet1'!$L$16"}</definedName>
    <definedName name="v" localSheetId="1" hidden="1">{"'Sheet1'!$L$16"}</definedName>
    <definedName name="v" localSheetId="3" hidden="1">{"'Sheet1'!$L$16"}</definedName>
    <definedName name="v" hidden="1">{"'Sheet1'!$L$16"}</definedName>
    <definedName name="VAÄT_LIEÄU">"nhandongia"</definedName>
    <definedName name="vcoto" hidden="1">{"'Sheet1'!$L$16"}</definedName>
    <definedName name="Viet" hidden="1">{"'Sheet1'!$L$16"}</definedName>
    <definedName name="WIRE1">5</definedName>
    <definedName name="wrn.aaa." hidden="1">{#N/A,#N/A,FALSE,"Sheet1";#N/A,#N/A,FALSE,"Sheet1";#N/A,#N/A,FALSE,"Sheet1"}</definedName>
    <definedName name="wrn.Bang._.ke._.nhan._.hang." localSheetId="1" hidden="1">{#N/A,#N/A,FALSE,"Ke khai NH"}</definedName>
    <definedName name="wrn.Bang._.ke._.nhan._.hang." localSheetId="3" hidden="1">{#N/A,#N/A,FALSE,"Ke khai NH"}</definedName>
    <definedName name="wrn.Bang._.ke._.nhan._.hang." hidden="1">{#N/A,#N/A,FALSE,"Ke khai NH"}</definedName>
    <definedName name="wrn.Che._.do._.duoc._.huong." localSheetId="1" hidden="1">{#N/A,#N/A,FALSE,"BN (2)"}</definedName>
    <definedName name="wrn.Che._.do._.duoc._.huong." localSheetId="3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localSheetId="1" hidden="1">{#N/A,#N/A,FALSE,"Chi tiÆt"}</definedName>
    <definedName name="wrn.chi._.tiÆt." localSheetId="3" hidden="1">{#N/A,#N/A,FALSE,"Chi tiÆt"}</definedName>
    <definedName name="wrn.chi._.tiÆt." hidden="1">{#N/A,#N/A,FALSE,"Chi tiÆt"}</definedName>
    <definedName name="wrn.cong." hidden="1">{#N/A,#N/A,FALSE,"Sheet1"}</definedName>
    <definedName name="wrn.Giáy._.bao._.no." localSheetId="1" hidden="1">{#N/A,#N/A,FALSE,"BN"}</definedName>
    <definedName name="wrn.Giáy._.bao._.no." localSheetId="3" hidden="1">{#N/A,#N/A,FALSE,"BN"}</definedName>
    <definedName name="wrn.Giáy._.bao._.no." hidden="1">{#N/A,#N/A,FALSE,"BN"}</definedName>
    <definedName name="wrn.Report." localSheetId="1" hidden="1">{"Offgrid",#N/A,FALSE,"OFFGRID";"Region",#N/A,FALSE,"REGION";"Offgrid -2",#N/A,FALSE,"OFFGRID";"WTP",#N/A,FALSE,"WTP";"WTP -2",#N/A,FALSE,"WTP";"Project",#N/A,FALSE,"PROJECT";"Summary -2",#N/A,FALSE,"SUMMARY"}</definedName>
    <definedName name="wrn.Report." localSheetId="3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localSheetId="1" hidden="1">{#N/A,#N/A,TRUE,"BT M200 da 10x20"}</definedName>
    <definedName name="wrn.vd." localSheetId="3" hidden="1">{#N/A,#N/A,TRUE,"BT M200 da 10x20"}</definedName>
    <definedName name="wrn.vd." hidden="1">{#N/A,#N/A,TRUE,"BT M200 da 10x20"}</definedName>
    <definedName name="wrnf.report" localSheetId="1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3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BCNCKT">5600</definedName>
    <definedName name="XCCT">0.5</definedName>
    <definedName name="xls" hidden="1">{"'Sheet1'!$L$16"}</definedName>
    <definedName name="xlttbninh" hidden="1">{"'Sheet1'!$L$16"}</definedName>
    <definedName name="XTKKTTC">7500</definedName>
    <definedName name="z" localSheetId="1" hidden="1">{"'Sheet1'!$L$16"}</definedName>
    <definedName name="z" localSheetId="3" hidden="1">{"'Sheet1'!$L$16"}</definedName>
    <definedName name="z" hidden="1">{"'Sheet1'!$L$16"}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4" i="2" l="1"/>
  <c r="W64" i="2"/>
  <c r="V75" i="2" l="1"/>
  <c r="V64" i="2" s="1"/>
  <c r="S75" i="2"/>
  <c r="O75" i="2"/>
  <c r="O64" i="2" s="1"/>
  <c r="B66" i="2" l="1"/>
  <c r="B67" i="2" s="1"/>
  <c r="B68" i="2" s="1"/>
  <c r="B69" i="2" s="1"/>
  <c r="B70" i="2" s="1"/>
  <c r="B71" i="2" s="1"/>
  <c r="B72" i="2" s="1"/>
  <c r="B73" i="2" s="1"/>
  <c r="B74" i="2" s="1"/>
  <c r="Z69" i="2"/>
  <c r="V69" i="2"/>
  <c r="S69" i="2"/>
  <c r="W25" i="2"/>
  <c r="W23" i="2"/>
  <c r="T33" i="5"/>
  <c r="S16" i="11" l="1"/>
  <c r="T16" i="11"/>
  <c r="U16" i="11"/>
  <c r="W16" i="11"/>
  <c r="V16" i="11"/>
  <c r="Q13" i="11"/>
  <c r="Q12" i="11" s="1"/>
  <c r="Q11" i="11" s="1"/>
  <c r="R13" i="11"/>
  <c r="R12" i="11" s="1"/>
  <c r="R11" i="11" s="1"/>
  <c r="Z44" i="2" l="1"/>
  <c r="Z43" i="2" s="1"/>
  <c r="Z12" i="2"/>
  <c r="AB105" i="2"/>
  <c r="AB104" i="2"/>
  <c r="Z109" i="2"/>
  <c r="Z108" i="2" s="1"/>
  <c r="AB100" i="2"/>
  <c r="Z99" i="2"/>
  <c r="Z98" i="2" s="1"/>
  <c r="Z97" i="2" s="1"/>
  <c r="Z95" i="2" s="1"/>
  <c r="Z94" i="2" s="1"/>
  <c r="Q64" i="2"/>
  <c r="R64" i="2"/>
  <c r="T64" i="2"/>
  <c r="U64" i="2"/>
  <c r="X64" i="2"/>
  <c r="Y64" i="2"/>
  <c r="Z64" i="2"/>
  <c r="Z81" i="2"/>
  <c r="AB67" i="2"/>
  <c r="Z61" i="2"/>
  <c r="AB74" i="2" l="1"/>
  <c r="AB72" i="2"/>
  <c r="Z63" i="2"/>
  <c r="Z33" i="2"/>
  <c r="Z32" i="2" s="1"/>
  <c r="Z30" i="2" s="1"/>
  <c r="Z29" i="2" s="1"/>
  <c r="Z22" i="2"/>
  <c r="Z57" i="2"/>
  <c r="AB68" i="2"/>
  <c r="AB66" i="2"/>
  <c r="AB58" i="2"/>
  <c r="AB35" i="2"/>
  <c r="AB26" i="2"/>
  <c r="AB27" i="2"/>
  <c r="AD26" i="2"/>
  <c r="AB25" i="2"/>
  <c r="AB24" i="2"/>
  <c r="AB23" i="2"/>
  <c r="AB22" i="2"/>
  <c r="AB21" i="2"/>
  <c r="AB20" i="2"/>
  <c r="AB17" i="2"/>
  <c r="AB16" i="2"/>
  <c r="AB15" i="2"/>
  <c r="Z60" i="2" l="1"/>
  <c r="Z59" i="2" s="1"/>
  <c r="AB59" i="2" s="1"/>
  <c r="AB14" i="2"/>
  <c r="AB13" i="2"/>
  <c r="P38" i="2"/>
  <c r="P108" i="2"/>
  <c r="V65" i="2"/>
  <c r="V54" i="2" l="1"/>
  <c r="V52" i="2"/>
  <c r="V50" i="2"/>
  <c r="P49" i="2"/>
  <c r="O54" i="2"/>
  <c r="O53" i="2" s="1"/>
  <c r="P53" i="2"/>
  <c r="O52" i="2"/>
  <c r="P51" i="2"/>
  <c r="O51" i="2" s="1"/>
  <c r="O50" i="2"/>
  <c r="V48" i="2"/>
  <c r="P47" i="2"/>
  <c r="O48" i="2"/>
  <c r="V46" i="2"/>
  <c r="P45" i="2"/>
  <c r="O46" i="2"/>
  <c r="P36" i="2"/>
  <c r="V37" i="2"/>
  <c r="T37" i="2"/>
  <c r="S37" i="2"/>
  <c r="O37" i="2"/>
  <c r="P99" i="2"/>
  <c r="P101" i="2"/>
  <c r="V102" i="2"/>
  <c r="T102" i="2"/>
  <c r="S102" i="2" s="1"/>
  <c r="O102" i="2"/>
  <c r="P103" i="2"/>
  <c r="O105" i="2"/>
  <c r="P110" i="2"/>
  <c r="V111" i="2"/>
  <c r="S111" i="2"/>
  <c r="O111" i="2"/>
  <c r="P112" i="2"/>
  <c r="V113" i="2"/>
  <c r="S113" i="2"/>
  <c r="O113" i="2"/>
  <c r="P114" i="2"/>
  <c r="V115" i="2"/>
  <c r="S115" i="2"/>
  <c r="O115" i="2"/>
  <c r="W116" i="2"/>
  <c r="P116" i="2"/>
  <c r="V117" i="2"/>
  <c r="S117" i="2"/>
  <c r="O117" i="2"/>
  <c r="P118" i="2"/>
  <c r="V119" i="2"/>
  <c r="S119" i="2"/>
  <c r="O119" i="2"/>
  <c r="O118" i="2" s="1"/>
  <c r="W72" i="2" l="1"/>
  <c r="W26" i="2"/>
  <c r="W22" i="2" l="1"/>
  <c r="P34" i="2" l="1"/>
  <c r="O43" i="2"/>
  <c r="P32" i="5" l="1"/>
  <c r="V25" i="2" l="1"/>
  <c r="S34" i="5" l="1"/>
  <c r="O34" i="5"/>
  <c r="O32" i="5" s="1"/>
  <c r="P16" i="5" l="1"/>
  <c r="T16" i="5"/>
  <c r="O19" i="5"/>
  <c r="O16" i="5" s="1"/>
  <c r="S19" i="5"/>
  <c r="S15" i="10" l="1"/>
  <c r="Z23" i="2"/>
  <c r="Z19" i="2" s="1"/>
  <c r="Z18" i="2" s="1"/>
  <c r="Z11" i="2" s="1"/>
  <c r="Z10" i="2" s="1"/>
  <c r="Z9" i="2" s="1"/>
  <c r="Z8" i="2" s="1"/>
  <c r="S33" i="5"/>
  <c r="S32" i="5" s="1"/>
  <c r="T32" i="5"/>
  <c r="T15" i="5" l="1"/>
  <c r="S15" i="5" s="1"/>
  <c r="S14" i="5" s="1"/>
  <c r="O15" i="5"/>
  <c r="T14" i="5" l="1"/>
  <c r="V100" i="2"/>
  <c r="V35" i="2"/>
  <c r="V109" i="2"/>
  <c r="O109" i="2"/>
  <c r="P19" i="2" l="1"/>
  <c r="Q19" i="2"/>
  <c r="R19" i="2"/>
  <c r="U19" i="2"/>
  <c r="X19" i="2"/>
  <c r="Y19" i="2"/>
  <c r="V27" i="2"/>
  <c r="O27" i="2"/>
  <c r="V44" i="2"/>
  <c r="O44" i="2"/>
  <c r="P13" i="5"/>
  <c r="Q16" i="5"/>
  <c r="Q13" i="5" s="1"/>
  <c r="R16" i="5"/>
  <c r="R13" i="5" s="1"/>
  <c r="U16" i="5"/>
  <c r="W91" i="2"/>
  <c r="V91" i="2" s="1"/>
  <c r="W90" i="2"/>
  <c r="V90" i="2" s="1"/>
  <c r="W89" i="2"/>
  <c r="V89" i="2" s="1"/>
  <c r="W88" i="2"/>
  <c r="V88" i="2" s="1"/>
  <c r="W87" i="2"/>
  <c r="V87" i="2" s="1"/>
  <c r="W86" i="2"/>
  <c r="V86" i="2" s="1"/>
  <c r="W85" i="2"/>
  <c r="V85" i="2" s="1"/>
  <c r="W84" i="2"/>
  <c r="V84" i="2" s="1"/>
  <c r="W83" i="2"/>
  <c r="V83" i="2" s="1"/>
  <c r="W82" i="2"/>
  <c r="V82" i="2" s="1"/>
  <c r="O84" i="2"/>
  <c r="O85" i="2"/>
  <c r="O86" i="2"/>
  <c r="O87" i="2"/>
  <c r="O88" i="2"/>
  <c r="O89" i="2"/>
  <c r="O90" i="2"/>
  <c r="O91" i="2"/>
  <c r="O83" i="2"/>
  <c r="O82" i="2"/>
  <c r="V92" i="2"/>
  <c r="V105" i="2" l="1"/>
  <c r="X57" i="2"/>
  <c r="Y57" i="2"/>
  <c r="X81" i="2"/>
  <c r="Y81" i="2"/>
  <c r="Y63" i="2"/>
  <c r="Y61" i="2"/>
  <c r="X61" i="2"/>
  <c r="P63" i="2"/>
  <c r="Q63" i="2"/>
  <c r="R63" i="2"/>
  <c r="T63" i="2"/>
  <c r="U63" i="2"/>
  <c r="W63" i="2"/>
  <c r="X63" i="2"/>
  <c r="Y106" i="2"/>
  <c r="Y103" i="2"/>
  <c r="V73" i="2"/>
  <c r="X38" i="2"/>
  <c r="X33" i="2" s="1"/>
  <c r="X32" i="2" s="1"/>
  <c r="X30" i="2" s="1"/>
  <c r="X29" i="2" s="1"/>
  <c r="Y38" i="2"/>
  <c r="Y33" i="2" s="1"/>
  <c r="Y32" i="2" s="1"/>
  <c r="Y30" i="2" s="1"/>
  <c r="Y29" i="2" s="1"/>
  <c r="Y60" i="2" l="1"/>
  <c r="Y59" i="2" s="1"/>
  <c r="X60" i="2"/>
  <c r="X59" i="2" s="1"/>
  <c r="Y98" i="2"/>
  <c r="Y97" i="2" s="1"/>
  <c r="Y95" i="2" s="1"/>
  <c r="Y94" i="2" s="1"/>
  <c r="V26" i="2"/>
  <c r="X18" i="2" l="1"/>
  <c r="Y18" i="2"/>
  <c r="W19" i="2"/>
  <c r="Y14" i="2" l="1"/>
  <c r="Y12" i="2" s="1"/>
  <c r="Y11" i="2" s="1"/>
  <c r="Y10" i="2" s="1"/>
  <c r="Y9" i="2" s="1"/>
  <c r="Y8" i="2" s="1"/>
  <c r="S15" i="11" l="1"/>
  <c r="S13" i="11" s="1"/>
  <c r="S12" i="11" s="1"/>
  <c r="S11" i="11" s="1"/>
  <c r="V17" i="11"/>
  <c r="O16" i="11"/>
  <c r="O15" i="11" s="1"/>
  <c r="O13" i="11" s="1"/>
  <c r="O12" i="11" s="1"/>
  <c r="O11" i="11" s="1"/>
  <c r="W15" i="11"/>
  <c r="W13" i="11" s="1"/>
  <c r="W12" i="11" s="1"/>
  <c r="W11" i="11" s="1"/>
  <c r="G16" i="1" s="1"/>
  <c r="U15" i="11"/>
  <c r="U13" i="11" s="1"/>
  <c r="U12" i="11" s="1"/>
  <c r="U11" i="11" s="1"/>
  <c r="T15" i="11"/>
  <c r="T13" i="11" s="1"/>
  <c r="T12" i="11" s="1"/>
  <c r="T11" i="11" s="1"/>
  <c r="R16" i="11"/>
  <c r="R15" i="11" s="1"/>
  <c r="Q16" i="11"/>
  <c r="Q15" i="11" s="1"/>
  <c r="P16" i="11"/>
  <c r="P15" i="11" s="1"/>
  <c r="P13" i="11" s="1"/>
  <c r="P12" i="11" s="1"/>
  <c r="P11" i="11" s="1"/>
  <c r="V71" i="2" l="1"/>
  <c r="V15" i="11" l="1"/>
  <c r="V62" i="2"/>
  <c r="R13" i="10"/>
  <c r="V15" i="10"/>
  <c r="Q14" i="10"/>
  <c r="Q13" i="10" s="1"/>
  <c r="W14" i="10"/>
  <c r="W13" i="10" s="1"/>
  <c r="U14" i="10"/>
  <c r="U13" i="10" s="1"/>
  <c r="T14" i="10"/>
  <c r="T13" i="10" s="1"/>
  <c r="S14" i="10"/>
  <c r="S13" i="10" s="1"/>
  <c r="R14" i="10"/>
  <c r="P14" i="10"/>
  <c r="P13" i="10" s="1"/>
  <c r="O14" i="10"/>
  <c r="O13" i="10" s="1"/>
  <c r="O12" i="10" s="1"/>
  <c r="O11" i="10" s="1"/>
  <c r="AD12" i="10"/>
  <c r="AB12" i="10"/>
  <c r="N12" i="10"/>
  <c r="V13" i="11" l="1"/>
  <c r="V14" i="10"/>
  <c r="AC12" i="10"/>
  <c r="Q12" i="10"/>
  <c r="Q11" i="10" s="1"/>
  <c r="R12" i="10"/>
  <c r="R11" i="10" s="1"/>
  <c r="P12" i="10"/>
  <c r="P11" i="10" s="1"/>
  <c r="U12" i="10"/>
  <c r="U11" i="10" s="1"/>
  <c r="W12" i="10"/>
  <c r="W11" i="10" s="1"/>
  <c r="G18" i="1" s="1"/>
  <c r="F18" i="1" s="1"/>
  <c r="S12" i="10"/>
  <c r="S11" i="10" s="1"/>
  <c r="T12" i="10"/>
  <c r="T11" i="10" s="1"/>
  <c r="S31" i="5"/>
  <c r="S29" i="5" s="1"/>
  <c r="S28" i="5" s="1"/>
  <c r="O31" i="5"/>
  <c r="T31" i="5"/>
  <c r="T29" i="5" s="1"/>
  <c r="T28" i="5" s="1"/>
  <c r="R32" i="5"/>
  <c r="R31" i="5" s="1"/>
  <c r="Q32" i="5"/>
  <c r="Q31" i="5" s="1"/>
  <c r="P31" i="5"/>
  <c r="V12" i="11" l="1"/>
  <c r="V13" i="10"/>
  <c r="P29" i="5"/>
  <c r="P28" i="5" s="1"/>
  <c r="O29" i="5"/>
  <c r="O28" i="5" s="1"/>
  <c r="V11" i="11" l="1"/>
  <c r="V12" i="10"/>
  <c r="F16" i="1"/>
  <c r="D16" i="1"/>
  <c r="C16" i="1" s="1"/>
  <c r="T22" i="5"/>
  <c r="T21" i="5" s="1"/>
  <c r="V11" i="10" l="1"/>
  <c r="S26" i="5"/>
  <c r="S25" i="5" l="1"/>
  <c r="S22" i="5" s="1"/>
  <c r="S21" i="5" s="1"/>
  <c r="O25" i="5"/>
  <c r="O22" i="5" s="1"/>
  <c r="O21" i="5" s="1"/>
  <c r="P22" i="5"/>
  <c r="P21" i="5" s="1"/>
  <c r="V23" i="2"/>
  <c r="S23" i="2"/>
  <c r="V22" i="2"/>
  <c r="S22" i="2"/>
  <c r="O70" i="2" l="1"/>
  <c r="S70" i="2" l="1"/>
  <c r="V70" i="2"/>
  <c r="V118" i="2"/>
  <c r="V116" i="2"/>
  <c r="V114" i="2"/>
  <c r="V112" i="2"/>
  <c r="V110" i="2"/>
  <c r="W108" i="2"/>
  <c r="W107" i="2"/>
  <c r="W106" i="2"/>
  <c r="X98" i="2"/>
  <c r="X97" i="2" s="1"/>
  <c r="X95" i="2" s="1"/>
  <c r="X94" i="2" s="1"/>
  <c r="V74" i="2"/>
  <c r="V68" i="2"/>
  <c r="V67" i="2"/>
  <c r="V66" i="2"/>
  <c r="V72" i="2"/>
  <c r="W61" i="2"/>
  <c r="V61" i="2"/>
  <c r="V58" i="2"/>
  <c r="W57" i="2"/>
  <c r="V53" i="2"/>
  <c r="V51" i="2"/>
  <c r="V49" i="2"/>
  <c r="V47" i="2"/>
  <c r="V45" i="2"/>
  <c r="W43" i="2"/>
  <c r="V42" i="2"/>
  <c r="W41" i="2"/>
  <c r="V21" i="2"/>
  <c r="V20" i="2"/>
  <c r="X11" i="2"/>
  <c r="X10" i="2" s="1"/>
  <c r="V17" i="2"/>
  <c r="V16" i="2"/>
  <c r="V15" i="2"/>
  <c r="V14" i="2"/>
  <c r="V13" i="2"/>
  <c r="W12" i="2"/>
  <c r="V57" i="2" l="1"/>
  <c r="W98" i="2"/>
  <c r="V101" i="2"/>
  <c r="V108" i="2"/>
  <c r="V36" i="2"/>
  <c r="V43" i="2"/>
  <c r="W81" i="2"/>
  <c r="V103" i="2"/>
  <c r="V24" i="2"/>
  <c r="V41" i="2"/>
  <c r="V99" i="2"/>
  <c r="V107" i="2"/>
  <c r="V34" i="2"/>
  <c r="V106" i="2"/>
  <c r="V12" i="2"/>
  <c r="X9" i="2"/>
  <c r="X8" i="2" s="1"/>
  <c r="V19" i="2" l="1"/>
  <c r="V81" i="2"/>
  <c r="V98" i="2"/>
  <c r="G13" i="1"/>
  <c r="F13" i="1" s="1"/>
  <c r="V63" i="2"/>
  <c r="W60" i="2"/>
  <c r="W59" i="2" s="1"/>
  <c r="W97" i="2"/>
  <c r="W18" i="2"/>
  <c r="W11" i="2" s="1"/>
  <c r="W10" i="2" s="1"/>
  <c r="V18" i="2" l="1"/>
  <c r="V60" i="2"/>
  <c r="V59" i="2" s="1"/>
  <c r="V97" i="2"/>
  <c r="W95" i="2"/>
  <c r="G14" i="1" l="1"/>
  <c r="F14" i="1" s="1"/>
  <c r="V11" i="2"/>
  <c r="V95" i="2"/>
  <c r="W94" i="2"/>
  <c r="G11" i="1"/>
  <c r="V10" i="2" l="1"/>
  <c r="V94" i="2"/>
  <c r="F11" i="1"/>
  <c r="G15" i="1" l="1"/>
  <c r="F15" i="1" s="1"/>
  <c r="T24" i="2"/>
  <c r="T19" i="2" s="1"/>
  <c r="S24" i="2" l="1"/>
  <c r="S42" i="2"/>
  <c r="O42" i="2"/>
  <c r="T107" i="2"/>
  <c r="S107" i="2" s="1"/>
  <c r="O107" i="2"/>
  <c r="O24" i="2"/>
  <c r="O58" i="2"/>
  <c r="O81" i="2" l="1"/>
  <c r="Q81" i="2"/>
  <c r="R81" i="2"/>
  <c r="S81" i="2"/>
  <c r="T81" i="2"/>
  <c r="U81" i="2"/>
  <c r="P81" i="2" l="1"/>
  <c r="N81" i="2"/>
  <c r="Q11" i="5"/>
  <c r="R11" i="5"/>
  <c r="U11" i="5"/>
  <c r="S18" i="5"/>
  <c r="S17" i="5"/>
  <c r="S16" i="5" s="1"/>
  <c r="P12" i="5"/>
  <c r="P11" i="5" s="1"/>
  <c r="O13" i="5" l="1"/>
  <c r="O12" i="5" s="1"/>
  <c r="O11" i="5" s="1"/>
  <c r="S13" i="5"/>
  <c r="S12" i="5" s="1"/>
  <c r="S11" i="5" s="1"/>
  <c r="T13" i="5"/>
  <c r="T12" i="5" s="1"/>
  <c r="T11" i="5" s="1"/>
  <c r="G17" i="1" l="1"/>
  <c r="S66" i="2"/>
  <c r="F17" i="1" l="1"/>
  <c r="P57" i="2"/>
  <c r="T57" i="2"/>
  <c r="S20" i="2"/>
  <c r="S58" i="2"/>
  <c r="S57" i="2" s="1"/>
  <c r="S61" i="2"/>
  <c r="T61" i="2"/>
  <c r="U61" i="2"/>
  <c r="S68" i="2"/>
  <c r="S118" i="2" l="1"/>
  <c r="S116" i="2"/>
  <c r="S114" i="2"/>
  <c r="S112" i="2"/>
  <c r="S110" i="2"/>
  <c r="T108" i="2"/>
  <c r="S108" i="2" s="1"/>
  <c r="T106" i="2"/>
  <c r="T103" i="2"/>
  <c r="S103" i="2" s="1"/>
  <c r="T101" i="2"/>
  <c r="S101" i="2" s="1"/>
  <c r="T99" i="2"/>
  <c r="S99" i="2" s="1"/>
  <c r="O108" i="2"/>
  <c r="O103" i="2"/>
  <c r="O101" i="2"/>
  <c r="O99" i="2"/>
  <c r="O116" i="2"/>
  <c r="O114" i="2"/>
  <c r="O112" i="2"/>
  <c r="O110" i="2"/>
  <c r="U98" i="2"/>
  <c r="U97" i="2" s="1"/>
  <c r="U95" i="2" s="1"/>
  <c r="R98" i="2"/>
  <c r="Q98" i="2"/>
  <c r="S53" i="2"/>
  <c r="S51" i="2"/>
  <c r="S49" i="2"/>
  <c r="S47" i="2"/>
  <c r="S45" i="2"/>
  <c r="T43" i="2"/>
  <c r="S43" i="2" s="1"/>
  <c r="T41" i="2"/>
  <c r="S41" i="2" s="1"/>
  <c r="T38" i="2"/>
  <c r="S38" i="2" s="1"/>
  <c r="T36" i="2"/>
  <c r="S36" i="2" s="1"/>
  <c r="T34" i="2"/>
  <c r="O74" i="2"/>
  <c r="S74" i="2"/>
  <c r="S67" i="2"/>
  <c r="S21" i="2"/>
  <c r="S19" i="2" s="1"/>
  <c r="S106" i="2" l="1"/>
  <c r="S98" i="2" s="1"/>
  <c r="S97" i="2" s="1"/>
  <c r="S95" i="2" s="1"/>
  <c r="S94" i="2" s="1"/>
  <c r="T98" i="2"/>
  <c r="T97" i="2" s="1"/>
  <c r="T95" i="2" s="1"/>
  <c r="T94" i="2" s="1"/>
  <c r="P33" i="2"/>
  <c r="S34" i="2"/>
  <c r="S33" i="2" s="1"/>
  <c r="T33" i="2"/>
  <c r="O106" i="2"/>
  <c r="O98" i="2" s="1"/>
  <c r="P98" i="2"/>
  <c r="P97" i="2" s="1"/>
  <c r="P95" i="2" s="1"/>
  <c r="P94" i="2" s="1"/>
  <c r="O97" i="2" l="1"/>
  <c r="O95" i="2" s="1"/>
  <c r="O94" i="2" s="1"/>
  <c r="O21" i="2"/>
  <c r="O57" i="2"/>
  <c r="D8" i="4" l="1"/>
  <c r="C8" i="4" s="1"/>
  <c r="D15" i="1" l="1"/>
  <c r="C13" i="1"/>
  <c r="D12" i="1"/>
  <c r="D10" i="1" s="1"/>
  <c r="D9" i="1" l="1"/>
  <c r="D8" i="1" s="1"/>
  <c r="S17" i="2"/>
  <c r="S16" i="2"/>
  <c r="S15" i="2"/>
  <c r="S13" i="2"/>
  <c r="S14" i="2" l="1"/>
  <c r="C15" i="1" l="1"/>
  <c r="T12" i="2"/>
  <c r="P12" i="2"/>
  <c r="S12" i="2"/>
  <c r="O17" i="2"/>
  <c r="O16" i="2"/>
  <c r="Q15" i="2"/>
  <c r="R14" i="2"/>
  <c r="R12" i="2" s="1"/>
  <c r="Q14" i="2"/>
  <c r="Q13" i="2"/>
  <c r="O13" i="2"/>
  <c r="P61" i="2"/>
  <c r="O61" i="2"/>
  <c r="O12" i="2" l="1"/>
  <c r="Q12" i="2"/>
  <c r="T60" i="2" l="1"/>
  <c r="T59" i="2" s="1"/>
  <c r="Q60" i="2"/>
  <c r="Q59" i="2" s="1"/>
  <c r="R60" i="2"/>
  <c r="R59" i="2" s="1"/>
  <c r="U60" i="2"/>
  <c r="U59" i="2" s="1"/>
  <c r="P60" i="2" l="1"/>
  <c r="P59" i="2" s="1"/>
  <c r="O67" i="2"/>
  <c r="O66" i="2"/>
  <c r="S72" i="2"/>
  <c r="U18" i="2"/>
  <c r="U11" i="2" s="1"/>
  <c r="U10" i="2" s="1"/>
  <c r="S64" i="2" l="1"/>
  <c r="S63" i="2" s="1"/>
  <c r="O63" i="2"/>
  <c r="O60" i="2" s="1"/>
  <c r="O59" i="2" s="1"/>
  <c r="S60" i="2" l="1"/>
  <c r="S59" i="2" s="1"/>
  <c r="Q33" i="2" l="1"/>
  <c r="R33" i="2"/>
  <c r="U33" i="2"/>
  <c r="U32" i="2" s="1"/>
  <c r="U30" i="2" s="1"/>
  <c r="U29" i="2" s="1"/>
  <c r="U9" i="2" s="1"/>
  <c r="U8" i="2" s="1"/>
  <c r="P18" i="2"/>
  <c r="P11" i="2" s="1"/>
  <c r="P10" i="2" s="1"/>
  <c r="R18" i="2"/>
  <c r="R11" i="2" s="1"/>
  <c r="R10" i="2" s="1"/>
  <c r="O49" i="2"/>
  <c r="O47" i="2"/>
  <c r="O45" i="2"/>
  <c r="O41" i="2"/>
  <c r="O38" i="2"/>
  <c r="O36" i="2"/>
  <c r="O20" i="2"/>
  <c r="O19" i="2" l="1"/>
  <c r="R9" i="2"/>
  <c r="R8" i="2" s="1"/>
  <c r="S18" i="2"/>
  <c r="S11" i="2" s="1"/>
  <c r="S10" i="2" s="1"/>
  <c r="S32" i="2"/>
  <c r="S30" i="2" s="1"/>
  <c r="S29" i="2" s="1"/>
  <c r="T32" i="2"/>
  <c r="T30" i="2" s="1"/>
  <c r="T29" i="2" s="1"/>
  <c r="O34" i="2"/>
  <c r="O33" i="2" s="1"/>
  <c r="S9" i="2" l="1"/>
  <c r="S8" i="2" s="1"/>
  <c r="N59" i="2"/>
  <c r="P32" i="2"/>
  <c r="P30" i="2" s="1"/>
  <c r="P29" i="2" s="1"/>
  <c r="P9" i="2" s="1"/>
  <c r="O32" i="2"/>
  <c r="O30" i="2" s="1"/>
  <c r="O29" i="2" s="1"/>
  <c r="C14" i="1"/>
  <c r="O18" i="2" l="1"/>
  <c r="O11" i="2" s="1"/>
  <c r="O10" i="2" s="1"/>
  <c r="Q18" i="2"/>
  <c r="Q11" i="2" s="1"/>
  <c r="Q10" i="2" s="1"/>
  <c r="C12" i="1"/>
  <c r="Q9" i="2" l="1"/>
  <c r="Q8" i="2" s="1"/>
  <c r="O9" i="2"/>
  <c r="P8" i="2"/>
  <c r="O8" i="2" l="1"/>
  <c r="T18" i="2"/>
  <c r="T11" i="2" s="1"/>
  <c r="T10" i="2" s="1"/>
  <c r="AE59" i="2" l="1"/>
  <c r="AD59" i="2" l="1"/>
  <c r="T9" i="2"/>
  <c r="T8" i="2" s="1"/>
  <c r="C11" i="1"/>
  <c r="C10" i="1" l="1"/>
  <c r="C9" i="1" s="1"/>
  <c r="C8" i="1" s="1"/>
  <c r="W38" i="2" l="1"/>
  <c r="V38" i="2" s="1"/>
  <c r="V33" i="2" s="1"/>
  <c r="V32" i="2" l="1"/>
  <c r="W33" i="2"/>
  <c r="V30" i="2" l="1"/>
  <c r="W32" i="2"/>
  <c r="V29" i="2" l="1"/>
  <c r="W30" i="2"/>
  <c r="V9" i="2" l="1"/>
  <c r="G12" i="1"/>
  <c r="W29" i="2"/>
  <c r="F12" i="1" l="1"/>
  <c r="G10" i="1"/>
  <c r="G9" i="1" s="1"/>
  <c r="G8" i="1" s="1"/>
  <c r="V8" i="2"/>
  <c r="W9" i="2"/>
  <c r="F10" i="1" l="1"/>
  <c r="W8" i="2"/>
  <c r="F9" i="1" l="1"/>
  <c r="F8" i="1" l="1"/>
</calcChain>
</file>

<file path=xl/sharedStrings.xml><?xml version="1.0" encoding="utf-8"?>
<sst xmlns="http://schemas.openxmlformats.org/spreadsheetml/2006/main" count="805" uniqueCount="266">
  <si>
    <t>TT</t>
  </si>
  <si>
    <t>Nguồn vốn</t>
  </si>
  <si>
    <t>Tổng số</t>
  </si>
  <si>
    <t>Trong đó:</t>
  </si>
  <si>
    <t>Phân bổ thực hiện</t>
  </si>
  <si>
    <t xml:space="preserve">Dự phòng </t>
  </si>
  <si>
    <t>A</t>
  </si>
  <si>
    <t>B</t>
  </si>
  <si>
    <t>1=2+3</t>
  </si>
  <si>
    <t>2</t>
  </si>
  <si>
    <t>3</t>
  </si>
  <si>
    <t>I</t>
  </si>
  <si>
    <t>Nguồn thu tiền sử dụng đất</t>
  </si>
  <si>
    <t>III</t>
  </si>
  <si>
    <t>Biểu số 02</t>
  </si>
  <si>
    <t>ĐVT: Triệu đồng</t>
  </si>
  <si>
    <t>Nguồn vốn/ Danh mục dự án</t>
  </si>
  <si>
    <t>Chủ đầu tư</t>
  </si>
  <si>
    <t>Mã số dự án</t>
  </si>
  <si>
    <t>Mã ngành kinh tế</t>
  </si>
  <si>
    <t>Phân loại công trình</t>
  </si>
  <si>
    <t>Phân ngành</t>
  </si>
  <si>
    <t>Nhóm dự án</t>
  </si>
  <si>
    <t>Địa điểm xây dựng</t>
  </si>
  <si>
    <t>Năng lực thiết kế</t>
  </si>
  <si>
    <t>Thời gian
KC-HT</t>
  </si>
  <si>
    <t>Quyết định đầu tư</t>
  </si>
  <si>
    <t>Lũy kế vốn bố trí đến năm 2020</t>
  </si>
  <si>
    <t>Ghi chú</t>
  </si>
  <si>
    <t>Số QĐ, ngày tháng năm phê duyệt</t>
  </si>
  <si>
    <t>Tổng mức
 đầu tư</t>
  </si>
  <si>
    <t>Trđó: 
NSĐP</t>
  </si>
  <si>
    <t>Tổng số 
(tất cả 
các 
nguồn
 vốn)</t>
  </si>
  <si>
    <t>Trong đó: NSĐP</t>
  </si>
  <si>
    <t>Trong đó: 
NSĐP</t>
  </si>
  <si>
    <t>Tổng số
(tất cả
các 
nguồn 
vốn)</t>
  </si>
  <si>
    <t>Trong đó:
Thanh 
toán nợ
XDCB</t>
  </si>
  <si>
    <t>I.1</t>
  </si>
  <si>
    <t>1.</t>
  </si>
  <si>
    <t>a)</t>
  </si>
  <si>
    <t>b)</t>
  </si>
  <si>
    <t>(1)</t>
  </si>
  <si>
    <t>H. Sa Thầy</t>
  </si>
  <si>
    <t>KC mới</t>
  </si>
  <si>
    <t>tt</t>
  </si>
  <si>
    <t>c</t>
  </si>
  <si>
    <t xml:space="preserve">TT Sa Thầy </t>
  </si>
  <si>
    <t>2019-</t>
  </si>
  <si>
    <t>Trường Mầm non Hoa Hồng thị trấn Sa Thầy; Hạng mục: Nhà hiệu bộ, sân vườn và các hạng mục phụ trợ</t>
  </si>
  <si>
    <t>18/NQ-HĐND
23/7/2019</t>
  </si>
  <si>
    <t>7746573</t>
  </si>
  <si>
    <t>15/NQ-HĐND
23/7/2019
388
06/3/2019</t>
  </si>
  <si>
    <t>2.</t>
  </si>
  <si>
    <t>I.2</t>
  </si>
  <si>
    <t>(2)</t>
  </si>
  <si>
    <t>Dự phòng chưa phân bổ</t>
  </si>
  <si>
    <t>khac-pcap</t>
  </si>
  <si>
    <t>2020-</t>
  </si>
  <si>
    <t>II.</t>
  </si>
  <si>
    <t>NGUỒN THU TIỀN SỬ DỤNG ĐẤT TRONG CÂN ĐỐI</t>
  </si>
  <si>
    <t>1</t>
  </si>
  <si>
    <t>7</t>
  </si>
  <si>
    <t>8</t>
  </si>
  <si>
    <t>9</t>
  </si>
  <si>
    <t>Xã Sa Nghĩa</t>
  </si>
  <si>
    <t>Trường tiểu học-THCS Lê Quý Đôn (nhà học 08 phòng và hạng mục phụ trợ)</t>
  </si>
  <si>
    <t>05/NQ-HĐND
29/4/2020</t>
  </si>
  <si>
    <t>Xây dựng trường mầm non Hoa Hồng (hạng mục nhà học 06 phòng và mở rộng diện tích theo quy hoạch)</t>
  </si>
  <si>
    <t>06/NQ-HĐND
29/4/2020</t>
  </si>
  <si>
    <t>Xây dựng công viên cây xanh trước hội trường 19/5</t>
  </si>
  <si>
    <t>07/NQ-HĐND
29/4/2020</t>
  </si>
  <si>
    <t>5</t>
  </si>
  <si>
    <t>6</t>
  </si>
  <si>
    <t>4=5+6</t>
  </si>
  <si>
    <t>Nhu cầu Kế hoạch trung hạn 5 năm 2021-2025</t>
  </si>
  <si>
    <t>Trường Tiểu học - THCS thị trấn Sa Thầy (Hạng mục: Xây dựng 10 phòng học và các hạng mục phụ trợ)</t>
  </si>
  <si>
    <t>Các dự án chuyển tiếp từ giai đoạn 2016-2020 sang giai đoạn 2021-2025</t>
  </si>
  <si>
    <t>Các dự án hoàn thành sau năm 2025</t>
  </si>
  <si>
    <t>Chưa bao gồm 4.100 triệu nguồn kết dư ngân sách huyện năm 2019</t>
  </si>
  <si>
    <t>4</t>
  </si>
  <si>
    <t>2021-</t>
  </si>
  <si>
    <t>Xã Hơ Moong</t>
  </si>
  <si>
    <t>Xã Sa Sơn</t>
  </si>
  <si>
    <t>Trường PT DTBT THCS Hai Bà Trưng (Hạng mục: 04 phòng học và các hạng mục phụ trợ)</t>
  </si>
  <si>
    <t>Xã Sa Bình</t>
  </si>
  <si>
    <t>2022-</t>
  </si>
  <si>
    <t>Mở rộng đường Trần Hưng Đạo (Đoạn từ đường Cù Chính Lan đến Hạt Kiểm Lâm)</t>
  </si>
  <si>
    <t>10</t>
  </si>
  <si>
    <t>Mở rộng đường Trần Hưng Đạo (Đoạn từ đường Bế Văn Đàn đến đường Lê Duẩn)</t>
  </si>
  <si>
    <t>Các dự án khởi công mới đoạn 2021 - 2025</t>
  </si>
  <si>
    <t>Xã Sa Nhơn</t>
  </si>
  <si>
    <t>Xã Ya Xiêr</t>
  </si>
  <si>
    <t>Xã Ya Ly</t>
  </si>
  <si>
    <t>Xã Ya Tăng</t>
  </si>
  <si>
    <t>Xã Rờ Kơi</t>
  </si>
  <si>
    <t>Xã Mô Rai</t>
  </si>
  <si>
    <t>TỔNG CỘNG</t>
  </si>
  <si>
    <t>BQL</t>
  </si>
  <si>
    <t>Chưa bao gồm 3.948 triệu nguồn tăng thu NS huyện năm 2018; 2.956 triệu CĐNS năm 2020</t>
  </si>
  <si>
    <t>Các dự án dự kiến hoàn thành trong giai đoạn 2021-2025</t>
  </si>
  <si>
    <t xml:space="preserve">Dự án Đầu tư cơ sở hạ tầng phục vụ giãn dân tại làng Xộp, xã Mô Rai, huyện Sa Thầy </t>
  </si>
  <si>
    <t>Xây dựng trụ sở Hạt kiểm lâm (Hoán đổi trụ sở Hạt kiểm lâm cũ đã điều chuyển về cho UBND huyện quản lý)</t>
  </si>
  <si>
    <t>Nâng cấp, sửa chữa trụ sở làm việc Huyện ủy Sa Thầy và các hạng mục phụ trợ</t>
  </si>
  <si>
    <t>TT Sa Thầy</t>
  </si>
  <si>
    <t>Xây dựng trường mầm non Hoa Hồng (hạng mục nhà học 8 phòng và hạng mục phụ trợ)</t>
  </si>
  <si>
    <t>Trường Tiểu học -THCS Lê Quý Đôn (Nhà ăn, bếp và hạng mục phụ trợ)</t>
  </si>
  <si>
    <t>Chưa bao gồm các nguồn vốn ĐTC giai đoạn 2016-2020: 997 triệu nguồn thu tiền sử dụng đất; 1.422 triệu nguồn kết dư NS huyện năm 2018; 2.081 triệu CĐNS năm 2020</t>
  </si>
  <si>
    <t>Phân cấp đầu tư từ nguồn thu XSKT (Ưu tiên đầu tư các công trình GD-ĐT thực hiện CT MTQG xây dựng NTM)</t>
  </si>
  <si>
    <t>Phân cấp hỗ trợ xây dựng NTM (Ưu tiên đầu tư các công trình GD-ĐT)</t>
  </si>
  <si>
    <t>-</t>
  </si>
  <si>
    <t>Phân cấp hỗ trợ đầu tư các công trình cấp bách</t>
  </si>
  <si>
    <t>Đơn vị</t>
  </si>
  <si>
    <t>Tổng</t>
  </si>
  <si>
    <t>Trong đó</t>
  </si>
  <si>
    <t>Huyện Sa Thầy</t>
  </si>
  <si>
    <t>Nguồn cân đối NSĐP theo tiêu chí quy định tại Quyết định số 26/2020/QĐ-TTg</t>
  </si>
  <si>
    <t>Phân cấp hộ trợ nông thôn mới (Ưu tiên đầu tư các công trình GD-ĐT)</t>
  </si>
  <si>
    <t>Phân cấp đầu tư từ nguồn thu tiền sử dụng đất trong cân đối</t>
  </si>
  <si>
    <t>I.3</t>
  </si>
  <si>
    <t>PHÂN CẤP ĐẦU TƯ NGUỒN THU XSKT (ƯU TIÊN ĐẦU TƯ CÁC CÔNG TRÌNH GD-ĐT THỰC HIỆN CT MTQG XD NTM)</t>
  </si>
  <si>
    <t>Nguồn vốn đầu tư trong cân đối NSĐP</t>
  </si>
  <si>
    <t>II</t>
  </si>
  <si>
    <t>Nguồn thu sử dụng đất trong cân đối được để lại cho cấp xã (để duy tu, sửa chữa, nâng cấp các công trình hạ tầng; hỗ trợ làm đường hẻm, đường giao thông nông thôn…)</t>
  </si>
  <si>
    <t>(3)</t>
  </si>
  <si>
    <t>Thị trấn</t>
  </si>
  <si>
    <t xml:space="preserve">Xã Ya Xiêr </t>
  </si>
  <si>
    <t>Chi công tác đo đạc, quản lý đất đai</t>
  </si>
  <si>
    <t>(4)</t>
  </si>
  <si>
    <t>Chưa bao gồm 10.000 triệu nguồn hỗ trợ cấp bách</t>
  </si>
  <si>
    <t>2023-</t>
  </si>
  <si>
    <t>Biểu số 05</t>
  </si>
  <si>
    <t>UBND Sa Nghĩa</t>
  </si>
  <si>
    <t>Phân cấp cân đối theo tiêu chí quy định tại NQ 63/2020/NQ-HĐND</t>
  </si>
  <si>
    <t>NGUỒN VỐN TỈNH PHÂN CẤP ĐẦU TƯ CHO HUYỆN TRONG KẾ HOẠCH ĐẦU TƯ CÔNG TRUNG HẠN NĂM 2021-2025</t>
  </si>
  <si>
    <t>NGUỒN CÂN ĐỐI THEO TIÊU CHI QUY ĐỊNH TẠI QĐ 26/2020/QĐ-TTG</t>
  </si>
  <si>
    <t>Nguồn cân đối NSĐP theo tiêu chí tại Nghị quyết số 63/2020/NQ-HĐND của HĐND tỉnh</t>
  </si>
  <si>
    <t>42/NQ-HĐND
18/12/2020</t>
  </si>
  <si>
    <t>41/NQ-HĐND
18/12/2020</t>
  </si>
  <si>
    <t>44/NQ-HĐND
18/12/2020</t>
  </si>
  <si>
    <t>39/NQ-HĐND
18/12/2020</t>
  </si>
  <si>
    <t>40/NQ-HĐND
18/12/2020</t>
  </si>
  <si>
    <t>Đầu tư kết cấu hạ tầng khu dân cư dọc tuyến đường Điện Biên Phủ và đường Trần Quốc Toản, thị trấn Sa Thầy</t>
  </si>
  <si>
    <t>Biểu số 01</t>
  </si>
  <si>
    <t>BIỂU SỐ 03</t>
  </si>
  <si>
    <t>Biểu số 04</t>
  </si>
  <si>
    <r>
      <t>Phân cấp hỗ trợ xây dựng NTM (</t>
    </r>
    <r>
      <rPr>
        <i/>
        <sz val="13"/>
        <color theme="1"/>
        <rFont val="Times New Roman"/>
        <family val="1"/>
      </rPr>
      <t>Ưu tiên đầu tư các công trình GD-ĐT</t>
    </r>
    <r>
      <rPr>
        <sz val="13"/>
        <color theme="1"/>
        <rFont val="Times New Roman"/>
        <family val="1"/>
      </rPr>
      <t>)</t>
    </r>
  </si>
  <si>
    <r>
      <t>Phân cấp đầu tư từ nguồn thu XSKT (</t>
    </r>
    <r>
      <rPr>
        <b/>
        <i/>
        <sz val="13"/>
        <color theme="1"/>
        <rFont val="Times New Roman"/>
        <family val="1"/>
      </rPr>
      <t>Ưu tiên đầu tư các công trình GD-ĐT thực hiện CT MTQG xây dựng NTM</t>
    </r>
    <r>
      <rPr>
        <b/>
        <sz val="13"/>
        <color theme="1"/>
        <rFont val="Times New Roman"/>
        <family val="1"/>
      </rPr>
      <t>)</t>
    </r>
  </si>
  <si>
    <t>01/NQ-HĐND
14/01/2021</t>
  </si>
  <si>
    <t>Trường Tiểu học - THCS xã Sa Nghĩa; hạng mục: Nhà học 02 phòng</t>
  </si>
  <si>
    <t>Chưa bao gồm 150 triệu đồng nguồn phân cấp XSKT</t>
  </si>
  <si>
    <t xml:space="preserve">Trường Tiểu học Lê Văn Tám, hạng mục: Nhà hiệu bộ và hạng mục phụ trợ </t>
  </si>
  <si>
    <t xml:space="preserve">NGUỒN TIẾT KIỆM CHI </t>
  </si>
  <si>
    <t>NGUỒN TĂNG THU</t>
  </si>
  <si>
    <t>Sửa chữa nhỏ các hạng mục, hệ thống nhà vệ sinh, cấp nước sạch các trường học trên địa bàn huyện Sa Thầy</t>
  </si>
  <si>
    <r>
      <t>P.GD</t>
    </r>
    <r>
      <rPr>
        <sz val="10"/>
        <color theme="1"/>
        <rFont val="Calibri"/>
        <family val="2"/>
      </rPr>
      <t>&amp;</t>
    </r>
    <r>
      <rPr>
        <sz val="10"/>
        <color theme="1"/>
        <rFont val="Times New Roman"/>
        <family val="1"/>
      </rPr>
      <t>ĐT</t>
    </r>
  </si>
  <si>
    <t>08/NQ-HĐND ngày 19/5/2021</t>
  </si>
  <si>
    <t>43/NQ-HĐND
18/12/2020; 12/NQ-HĐND ngày 19/5/2021</t>
  </si>
  <si>
    <t>11/NQ-HĐND ngày 19/5/2021</t>
  </si>
  <si>
    <t>10/NQ-HĐND
19/5/2021</t>
  </si>
  <si>
    <t>IV</t>
  </si>
  <si>
    <t>Dự án hỗ trợ trồng rừng sản xuất trên đất trống, đồi núi trọc, đất bạc màu trên địa bàn huyện Sa Thầy năm 2021</t>
  </si>
  <si>
    <r>
      <t>Phòng NN</t>
    </r>
    <r>
      <rPr>
        <sz val="10"/>
        <color theme="1"/>
        <rFont val="Calibri"/>
        <family val="2"/>
        <charset val="163"/>
      </rPr>
      <t>&amp;</t>
    </r>
    <r>
      <rPr>
        <sz val="10"/>
        <color theme="1"/>
        <rFont val="Times New Roman"/>
        <family val="1"/>
      </rPr>
      <t>PTNT</t>
    </r>
  </si>
  <si>
    <t xml:space="preserve">H.Sa Thầy </t>
  </si>
  <si>
    <t>NGUỒN KẾT DƯ</t>
  </si>
  <si>
    <t>Chưa bao gồm 2.000 triệu đồng nguồn phân cấp ngân sách tỉnh và 4.082 triệu đồng nhân dân đóng góp</t>
  </si>
  <si>
    <t>Chưa bao gồm 137 triệu đồng nguồn tiết kiệm chi năm 2020</t>
  </si>
  <si>
    <t xml:space="preserve">NGUỒN PHÂN CẤP, HỖ TRỢ TỪ NGÂN SÁC TỈNH THỰC HIỆN MỘT SỐ DỰ ÁN </t>
  </si>
  <si>
    <t>Biểu số 06</t>
  </si>
  <si>
    <t>DỰ KIẾN CHI TIẾT KẾ HOẠCH NGUỒN VỐN ĐẦU TƯ NĂM 2020 CHUYỂN NGUỒN SANG NĂM 2021</t>
  </si>
  <si>
    <t>NGUỒN VỐN ĐẦU TƯ NĂM 2020 CHUYỂN NGUỒN SANG NĂM 2021</t>
  </si>
  <si>
    <t>Chưa bao gồm 35.000 triệu NS tỉnh hỗ trợ; 1.916,839 triệu đồng từ nguồn đầu tư năm 2020 chuyển sang năm 2021</t>
  </si>
  <si>
    <t>Nguồn vốn đầu tư năm 2020 chuyển nguồn sang năm 2021</t>
  </si>
  <si>
    <t>Đầu tư kết cấu hạ tầng Điểm dân cư khu vực Hạt Kiểm lâm (cũ) và lân cận</t>
  </si>
  <si>
    <t>QĐ số 1438/QĐ-UBND
29/9/2021</t>
  </si>
  <si>
    <t>Chưa bao gồm 2.258,4 triệu đồng nguồn kết dư ngân sách huyện năm 2020 và 4.082 triệu đồng nhân dân đóng góp</t>
  </si>
  <si>
    <t>17</t>
  </si>
  <si>
    <t>19</t>
  </si>
  <si>
    <t>Năm 2021 đã bố trí</t>
  </si>
  <si>
    <t>Mở rộng đường Trần Hưng Đạo (đoạn từ đường Bế Văn Đàn đến ngõ 350)</t>
  </si>
  <si>
    <t>Chưa bao gồm 620 triệu đồng nguồn phân cấp XSKT</t>
  </si>
  <si>
    <t>76/NQ-HĐND
07/10/2021</t>
  </si>
  <si>
    <t>Kè chống sạt lở suối Đăk Sia đoạn qua xã Sa Nhơn, Sa Nghĩa và thị trấn Sa Thầy, huyện Sa Thầy (Giai đoạn 1)</t>
  </si>
  <si>
    <t>28/NQ-HĐND
09/7/2021 HDND tỉnh</t>
  </si>
  <si>
    <t>Chưa bao gồm 248 triệu đồng nguồn phân cấp XSKT</t>
  </si>
  <si>
    <t>Chưa bao gồm 1.880 triệu đồng nguồn phân cấp NTM</t>
  </si>
  <si>
    <t>Chưa bao gồm 302 triệu đồng nguồn phân cấp NTM</t>
  </si>
  <si>
    <t>Chưa bao gồm 450 triệu đồng nguồn phân cấp NTM</t>
  </si>
  <si>
    <t>Đường giao thông từ trung tâm huyện Sa Thầy đến nhà máy thủy điện Ialy</t>
  </si>
  <si>
    <t>UBND xã Sa Nghĩa</t>
  </si>
  <si>
    <t>UBND xã Sa Nhơn</t>
  </si>
  <si>
    <t>674/QĐ-UBND
29/7/2021 tỉnh</t>
  </si>
  <si>
    <t>07/NQ-HĐND
17/4/2020 tỉnh
39/NQ-HĐND
22/10/2021 tỉnh</t>
  </si>
  <si>
    <t>UBND xã Sa Sơn</t>
  </si>
  <si>
    <t>Tổng số 
(tất cả
các nguồn 
vốn)</t>
  </si>
  <si>
    <t>Địa điểm 
xây dựng</t>
  </si>
  <si>
    <t>UBND thị trấn</t>
  </si>
  <si>
    <t>UBND xã Sa Bình</t>
  </si>
  <si>
    <t xml:space="preserve">UBND xã Ya Xiêr </t>
  </si>
  <si>
    <t>UBND xã Rờ Kơi</t>
  </si>
  <si>
    <t>UBND xã Mô Rai</t>
  </si>
  <si>
    <t>UBND xã Hơ Moong</t>
  </si>
  <si>
    <t xml:space="preserve">Nguồn hỗ trợ từ ngân sách tỉnh thực hiện một số dự án </t>
  </si>
  <si>
    <t>43/NQ-HĐND
18/12/2020; 12/NQ-HĐND 
19/5/2021</t>
  </si>
  <si>
    <t>Trường THCS Phan Đình Phùng (Hạng mục nhà học 08 phòng và hạng mục phụ trợ)</t>
  </si>
  <si>
    <t>Chưa bao gồm 4.000 triệu nguồn CTMTQG phát triển KT-XH vùng đồng bào DTTS&amp;MN giai đoạn 2021 - 2025; 620 triệu nguồn phân cấp đầu tư nguồn XSKT và 3.500 triệu nguồn cân đối NSĐP</t>
  </si>
  <si>
    <t>Chưa bao gồm 4.000 triệu nguồn CTMTQG phát triển KT-XH vùng đồng bào DTTS&amp;MN giai đoạn 2021 - 2025; 1.880 triệu nguồn phân cấp hỗ trợ xây dựng NTM; 620 triệu nguồn phân cấp đầu tư nguồn XSKT</t>
  </si>
  <si>
    <t>Văn phòng Huyện ủy</t>
  </si>
  <si>
    <t>Chưa bao gồm 4.000 triệu nguồn CTMTQG phát triển KT-XH vùng đồng bào DTTS&amp;MN giai đoạn 2021 - 2025; 1.880 triệu nguồn phân cấp hỗ trợ xây dựng NTM; 3.500 triệu nguồn cân đối NSĐP</t>
  </si>
  <si>
    <t>Chưa bao gồm 752 triệu đồng nguồn phân cấp hỗ trợ NTM</t>
  </si>
  <si>
    <t>Chưa bao gồm 6.000 tiệu đồng nguồn cân đối NSĐP</t>
  </si>
  <si>
    <t>CHI TIẾT KẾ HOẠCH CÁC NGUỒN VỐN ĐẦU TƯ TRONG CÂN ĐỐI NGÂN SÁCH ĐỊA PHƯƠNG GIAI ĐOẠN 2021 - 2025 CỦA HUYỆN SA THẦY</t>
  </si>
  <si>
    <t>Kế hoạch trung hạn 5 năm 2021-2025</t>
  </si>
  <si>
    <t>Chưa bao gồm 98 triệu đồng nguồn phân cấp XSKT</t>
  </si>
  <si>
    <t>CHI TIẾT KẾ HOẠCH CÁC NGUỒN VỐN ĐẦU TƯ NGÂN SÁCH TỈNH BỔ SUNG THỰC HIỆN MỘT SỐ DỰ ÁN</t>
  </si>
  <si>
    <t xml:space="preserve">KẾ HOẠCH ĐẦU TƯ CÔNG TRUNG HẠN GIAI ĐOẠN 2021 - 2025 TỪ NGUỒN THU ĐỂ LẠI ĐẦU TƯ </t>
  </si>
  <si>
    <t>Kế hoạch trung hạn giai đoạn 2021-2025 huyện giao</t>
  </si>
  <si>
    <t xml:space="preserve">Kế hoạch trung hạn giai đoạn 2021-2025 tỉnh giao </t>
  </si>
  <si>
    <t>KẾ HOẠCH ĐẦU TƯ CÔNG TRUNG HẠN GIAI ĐOẠN 2021 - 2025 CỦA HUYỆN SA THẦY</t>
  </si>
  <si>
    <t>Các nguồn thu được để lại đầu tư (Nguồn tăng thu, tiết kiệm chi, kết dư...)</t>
  </si>
  <si>
    <t xml:space="preserve">Chưa bao gồm 639 triệu đồng nguồn kết dư; 816 triệu đồng nguồn cân đối NSĐP </t>
  </si>
  <si>
    <t xml:space="preserve">Chưa bao gồm 35.000 triệu NS tỉnh hỗ trợ; 86.083,161 triệu từ nguồn thu sử dụng đất </t>
  </si>
  <si>
    <t>Chưa bao gồm 960 triệu đồng nguồn tiết kiệm chi năm 2020</t>
  </si>
  <si>
    <t>Chưa bao gồm 4.953 triệu nguồn tăng thu, kết dư; 1.800 triệu đồng nguồn thu sử dụng đất</t>
  </si>
  <si>
    <t>Chưa bao gồm 4.953 triệu nguồn tăng thu, kết dư; 2.700 nguồn cân đối NSĐP</t>
  </si>
  <si>
    <t>Chưa bao gồm 11.000 triệu nguồn thu sử dụng đất</t>
  </si>
  <si>
    <t>Chưa bao gồm 6.745 triệu nguồn thu sử dụng đất</t>
  </si>
  <si>
    <t>Chưa bao gồm 1.690 triệu đồng nguồn cân đối NSĐP</t>
  </si>
  <si>
    <t>Chưa bao gồm 1.040 triệu nguồn cân đối ngân sách địa phương</t>
  </si>
  <si>
    <t>Chưa bao gồm 241.800 triệu đồng nguồn hỗ trợ ngân sách Trung ương; 63.204 triệu đồng nguồn thu tiền sử dụng đất</t>
  </si>
  <si>
    <t>Chưa bao gồm 241.800 triệu đồng nguồn hỗ trợ ngân sách Trung ương; 12.996 triệu nguồn cân đối NSĐP</t>
  </si>
  <si>
    <t>Dự án hỗ trợ trồng rừng sản xuất trên đất trống, đồi núi trọc, đất bạc màu trên địa bàn huyện Sa Thầy năm 2022</t>
  </si>
  <si>
    <t>Chưa bao gồm 5.107 triệu đồng nhân dân đóng góp</t>
  </si>
  <si>
    <t>Xây dựng Trường PTDTBT Tiểu học Lý Thường Kiệt. Hạng mục: Nhà hiệu bộ và hạng mục phụ trợ</t>
  </si>
  <si>
    <t>Sửa chữa 02 dãy nhà học 2 tầng và hạng mục phụ trợ Trường THCS xã Rờ Kơi</t>
  </si>
  <si>
    <t>Trường Mầm non Vàng Anh xã Ya Tăng. Hạng mục: Nhà phục vụ học tập 02 phòng và hạng mục phụ trợ</t>
  </si>
  <si>
    <t>Chưa bao gồm 940 triệu đồng nguồn phân cấp NTM</t>
  </si>
  <si>
    <t>Chưa bao gồm 939 triệu đồng nguồn phân cấp NTM</t>
  </si>
  <si>
    <t>Xây dựng Trường TH - THCS xã YaLy. Hạng mục: Nhà học 02 phòng và hạng mục phụ trợ điểm trường làng Tum</t>
  </si>
  <si>
    <t>Trường Mầm non xã Ya Xiêr. Hạng mục: Sửa chữa nhà học, xây mới cổng hàng rào và hạng mục phụ trợ điểm trường trung tâm và điểm trường thôn Thanh Xuân</t>
  </si>
  <si>
    <t>Sửa chữa nhà học Trường TH - THCS xã Sa Nghĩa</t>
  </si>
  <si>
    <t>Làm mới Giếng khoan, Sửa chữa nhà vệ sinh học sinh và nhà vệ sinh giáo viên Trường Mầm non xã Sa Nhơn</t>
  </si>
  <si>
    <t>Trường TH - THCS xã Sa Sơn. Hạng mục: Nhà vệ sinh, cổng hàng rào và hạng mục phụ trợ</t>
  </si>
  <si>
    <t>Chưa bao gồm 310 triệu đồng nguồn phân cấp XSKT</t>
  </si>
  <si>
    <t>Chưa bao gồm 311 triệu đồng nguồn phân cấp XSKT</t>
  </si>
  <si>
    <t>Chưa bao gồm 1.800 triệu đồng nguồn thu sử dụng đất; 2700 triệu đồng nguồn cân đối NSĐP</t>
  </si>
  <si>
    <t>Chưa bao gồm 990 triệu đồng nguồn kết dư</t>
  </si>
  <si>
    <t>Chưa bao gồm 70.000 triệu đồng nguồn hỗ trợ ngân sách tỉnh</t>
  </si>
  <si>
    <t>Chưa bao gồm 913 triệu đồng nguồn hỗ trợ của Ngân sách tỉnh</t>
  </si>
  <si>
    <t>X</t>
  </si>
  <si>
    <t>C</t>
  </si>
  <si>
    <t>KH 2022</t>
  </si>
  <si>
    <t>UBND xã Ya Ly</t>
  </si>
  <si>
    <t>1438/QĐ-UBND
29/9/2021</t>
  </si>
  <si>
    <t>11/NQ-HĐND 
19/5/2021</t>
  </si>
  <si>
    <t>08/NQ-HĐND 
19/5/2021</t>
  </si>
  <si>
    <t>Chưa bao gồm 3.315 triệu nguồn kết dư năm 2019; 4.000 triệu nguồn tăng thu NS huyện 2020</t>
  </si>
  <si>
    <t>Chưa bao gồm 3.315 nguồn kết dư; 790 triệu đồng nguồn CĐNS Năm 2021</t>
  </si>
  <si>
    <t xml:space="preserve">Chưa bao gồm 2.000 triệu nguồn tăng thu năm 2020; 500 triệu nguồn từ nguồn thu sử dụng đất </t>
  </si>
  <si>
    <t>Chưa bao gồm 3.200 triệu nguồn thu sử dụng đất</t>
  </si>
  <si>
    <t>Chưa bao gồm 3.000 triệu nguồn cân đối NSĐP</t>
  </si>
  <si>
    <t xml:space="preserve">Chưa bao gồm 2.000 triệu nguồn tăng thu năm 2020; 955 triệu đồng nguồn cân đối ngân sách địa phương </t>
  </si>
  <si>
    <t>Hỗ trợ thưc hiện công tác giải phóng mặt bằng dự án xây dựng Trụ sở làm việc Công an huyện Sa Thầy</t>
  </si>
  <si>
    <t>Xây dựng Nhà làm việc Ban Chỉ huy quân sự xã Sa Bình</t>
  </si>
  <si>
    <t>Xây dựng Nhà làm việc Ban Chỉ huy quân sự xã Ya Tăng</t>
  </si>
  <si>
    <t>Xây dựng Nhà làm việc Ban Chỉ huy quân sự xã Hơ Moong</t>
  </si>
  <si>
    <t>Xây dựng Nhà văn hóa xã Ya Ly và các hạng mục phụ trợ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</si>
</sst>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₫_-;\-* #,##0.00\ _₫_-;_-* &quot;-&quot;??\ _₫_-;_-@_-"/>
    <numFmt numFmtId="165" formatCode="_-* #,##0_-;\-* #,##0_-;_-* &quot;-&quot;_-;_-@_-"/>
    <numFmt numFmtId="166" formatCode="#,##0.0"/>
    <numFmt numFmtId="167" formatCode="_-* #,##0.0_-;\-* #,##0.0_-;_-* &quot;-&quot;_-;_-@_-"/>
    <numFmt numFmtId="168" formatCode="_-* #,##0.00_-;\-* #,##0.00_-;_-* &quot;-&quot;_-;_-@_-"/>
  </numFmts>
  <fonts count="42" x14ac:knownFonts="1">
    <font>
      <sz val="14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2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2"/>
      <charset val="163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26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13"/>
      <color theme="1"/>
      <name val="Times New Roman"/>
      <family val="1"/>
    </font>
    <font>
      <i/>
      <sz val="10"/>
      <name val="Times New Roman"/>
      <family val="1"/>
    </font>
    <font>
      <b/>
      <sz val="12.5"/>
      <name val="Times New Roman"/>
      <family val="1"/>
    </font>
    <font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  <charset val="163"/>
    </font>
    <font>
      <sz val="10"/>
      <color theme="1"/>
      <name val="Calibri"/>
      <family val="2"/>
      <charset val="163"/>
    </font>
    <font>
      <b/>
      <sz val="10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4" fontId="2" fillId="0" borderId="0" applyFont="0" applyFill="0" applyBorder="0" applyAlignment="0" applyProtection="0"/>
    <xf numFmtId="0" fontId="9" fillId="0" borderId="0"/>
    <xf numFmtId="0" fontId="6" fillId="0" borderId="0"/>
    <xf numFmtId="0" fontId="11" fillId="0" borderId="0"/>
    <xf numFmtId="0" fontId="1" fillId="0" borderId="0"/>
    <xf numFmtId="0" fontId="9" fillId="0" borderId="0"/>
    <xf numFmtId="0" fontId="1" fillId="0" borderId="0"/>
  </cellStyleXfs>
  <cellXfs count="322">
    <xf numFmtId="0" fontId="0" fillId="0" borderId="0" xfId="0"/>
    <xf numFmtId="0" fontId="4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3" fontId="8" fillId="0" borderId="9" xfId="4" quotePrefix="1" applyNumberFormat="1" applyFont="1" applyFill="1" applyBorder="1" applyAlignment="1">
      <alignment horizontal="center" vertical="center" wrapText="1"/>
    </xf>
    <xf numFmtId="3" fontId="8" fillId="0" borderId="9" xfId="6" applyNumberFormat="1" applyFont="1" applyFill="1" applyBorder="1" applyAlignment="1">
      <alignment horizontal="left" vertical="center" wrapText="1"/>
    </xf>
    <xf numFmtId="3" fontId="8" fillId="0" borderId="9" xfId="6" applyNumberFormat="1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 wrapText="1"/>
    </xf>
    <xf numFmtId="165" fontId="8" fillId="0" borderId="9" xfId="6" applyNumberFormat="1" applyFont="1" applyFill="1" applyBorder="1" applyAlignment="1">
      <alignment horizontal="center" vertical="center" wrapText="1"/>
    </xf>
    <xf numFmtId="165" fontId="8" fillId="0" borderId="9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9" xfId="6" applyFont="1" applyFill="1" applyBorder="1" applyAlignment="1">
      <alignment horizontal="center" vertical="center" wrapText="1"/>
    </xf>
    <xf numFmtId="3" fontId="8" fillId="0" borderId="9" xfId="6" applyNumberFormat="1" applyFont="1" applyFill="1" applyBorder="1" applyAlignment="1">
      <alignment vertical="center" wrapText="1"/>
    </xf>
    <xf numFmtId="0" fontId="8" fillId="0" borderId="9" xfId="2" applyFont="1" applyFill="1" applyBorder="1" applyAlignment="1">
      <alignment vertical="center"/>
    </xf>
    <xf numFmtId="165" fontId="8" fillId="0" borderId="9" xfId="6" applyNumberFormat="1" applyFont="1" applyFill="1" applyBorder="1" applyAlignment="1">
      <alignment horizontal="right" vertical="center" wrapText="1"/>
    </xf>
    <xf numFmtId="165" fontId="8" fillId="0" borderId="9" xfId="2" applyNumberFormat="1" applyFont="1" applyFill="1" applyBorder="1" applyAlignment="1">
      <alignment vertical="center"/>
    </xf>
    <xf numFmtId="3" fontId="8" fillId="0" borderId="9" xfId="2" applyNumberFormat="1" applyFont="1" applyFill="1" applyBorder="1" applyAlignment="1">
      <alignment horizontal="justify" vertical="center" wrapText="1"/>
    </xf>
    <xf numFmtId="0" fontId="13" fillId="0" borderId="0" xfId="2" applyFont="1" applyFill="1" applyAlignment="1">
      <alignment horizontal="center" vertical="center" wrapText="1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vertical="center" wrapText="1"/>
    </xf>
    <xf numFmtId="166" fontId="8" fillId="0" borderId="0" xfId="2" applyNumberFormat="1" applyFont="1" applyFill="1" applyAlignment="1">
      <alignment vertical="center"/>
    </xf>
    <xf numFmtId="0" fontId="19" fillId="0" borderId="8" xfId="3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3" fontId="19" fillId="0" borderId="8" xfId="4" quotePrefix="1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vertical="center"/>
    </xf>
    <xf numFmtId="0" fontId="21" fillId="0" borderId="0" xfId="2" applyFont="1" applyFill="1" applyAlignment="1">
      <alignment vertical="center"/>
    </xf>
    <xf numFmtId="0" fontId="22" fillId="0" borderId="8" xfId="2" quotePrefix="1" applyFont="1" applyFill="1" applyBorder="1" applyAlignment="1">
      <alignment horizontal="center" vertical="center"/>
    </xf>
    <xf numFmtId="0" fontId="22" fillId="0" borderId="8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/>
    </xf>
    <xf numFmtId="0" fontId="22" fillId="0" borderId="8" xfId="2" applyFont="1" applyFill="1" applyBorder="1" applyAlignment="1">
      <alignment vertical="center"/>
    </xf>
    <xf numFmtId="165" fontId="22" fillId="0" borderId="8" xfId="2" applyNumberFormat="1" applyFont="1" applyFill="1" applyBorder="1" applyAlignment="1">
      <alignment vertical="center"/>
    </xf>
    <xf numFmtId="3" fontId="22" fillId="0" borderId="8" xfId="2" applyNumberFormat="1" applyFont="1" applyFill="1" applyBorder="1" applyAlignment="1">
      <alignment horizontal="justify" vertical="center" wrapText="1"/>
    </xf>
    <xf numFmtId="0" fontId="22" fillId="0" borderId="9" xfId="2" quotePrefix="1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vertical="center"/>
    </xf>
    <xf numFmtId="165" fontId="22" fillId="0" borderId="9" xfId="2" applyNumberFormat="1" applyFont="1" applyFill="1" applyBorder="1" applyAlignment="1">
      <alignment vertical="center"/>
    </xf>
    <xf numFmtId="3" fontId="22" fillId="0" borderId="9" xfId="2" applyNumberFormat="1" applyFont="1" applyFill="1" applyBorder="1" applyAlignment="1">
      <alignment horizontal="justify" vertical="center" wrapText="1"/>
    </xf>
    <xf numFmtId="0" fontId="22" fillId="0" borderId="9" xfId="2" applyFont="1" applyFill="1" applyBorder="1" applyAlignment="1">
      <alignment vertical="center" wrapText="1"/>
    </xf>
    <xf numFmtId="0" fontId="15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22" fillId="0" borderId="9" xfId="2" applyFont="1" applyFill="1" applyBorder="1" applyAlignment="1">
      <alignment horizontal="justify" vertical="center" wrapText="1"/>
    </xf>
    <xf numFmtId="4" fontId="22" fillId="0" borderId="9" xfId="2" applyNumberFormat="1" applyFont="1" applyFill="1" applyBorder="1" applyAlignment="1">
      <alignment horizontal="center" vertical="center" wrapText="1"/>
    </xf>
    <xf numFmtId="165" fontId="22" fillId="0" borderId="9" xfId="2" applyNumberFormat="1" applyFont="1" applyFill="1" applyBorder="1" applyAlignment="1">
      <alignment vertical="center" wrapText="1"/>
    </xf>
    <xf numFmtId="0" fontId="19" fillId="0" borderId="9" xfId="2" quotePrefix="1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horizontal="justify" vertical="center" wrapText="1"/>
    </xf>
    <xf numFmtId="0" fontId="19" fillId="0" borderId="9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vertical="center" wrapText="1"/>
    </xf>
    <xf numFmtId="3" fontId="19" fillId="0" borderId="9" xfId="2" applyNumberFormat="1" applyFont="1" applyFill="1" applyBorder="1" applyAlignment="1">
      <alignment horizontal="justify" vertical="center" wrapText="1"/>
    </xf>
    <xf numFmtId="165" fontId="19" fillId="0" borderId="9" xfId="2" applyNumberFormat="1" applyFont="1" applyFill="1" applyBorder="1" applyAlignment="1">
      <alignment vertical="center"/>
    </xf>
    <xf numFmtId="4" fontId="19" fillId="0" borderId="9" xfId="2" applyNumberFormat="1" applyFont="1" applyFill="1" applyBorder="1" applyAlignment="1">
      <alignment horizontal="center" vertical="center" wrapText="1"/>
    </xf>
    <xf numFmtId="0" fontId="22" fillId="0" borderId="9" xfId="3" quotePrefix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left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9" xfId="3" applyFont="1" applyFill="1" applyBorder="1" applyAlignment="1">
      <alignment horizontal="center" vertical="center" wrapText="1"/>
    </xf>
    <xf numFmtId="165" fontId="22" fillId="0" borderId="9" xfId="1" applyNumberFormat="1" applyFont="1" applyFill="1" applyBorder="1" applyAlignment="1">
      <alignment vertical="center" wrapText="1"/>
    </xf>
    <xf numFmtId="0" fontId="8" fillId="0" borderId="9" xfId="2" applyFont="1" applyFill="1" applyBorder="1" applyAlignment="1">
      <alignment vertical="center" wrapText="1"/>
    </xf>
    <xf numFmtId="3" fontId="22" fillId="0" borderId="9" xfId="2" applyNumberFormat="1" applyFont="1" applyFill="1" applyBorder="1" applyAlignment="1">
      <alignment vertical="center" wrapText="1"/>
    </xf>
    <xf numFmtId="3" fontId="8" fillId="0" borderId="0" xfId="2" applyNumberFormat="1" applyFont="1" applyFill="1" applyAlignment="1">
      <alignment vertical="center"/>
    </xf>
    <xf numFmtId="0" fontId="23" fillId="0" borderId="0" xfId="2" applyFont="1" applyFill="1" applyAlignment="1">
      <alignment vertical="center"/>
    </xf>
    <xf numFmtId="165" fontId="19" fillId="0" borderId="9" xfId="5" applyNumberFormat="1" applyFont="1" applyFill="1" applyBorder="1" applyAlignment="1">
      <alignment vertical="center"/>
    </xf>
    <xf numFmtId="0" fontId="7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justify" vertical="center" wrapText="1"/>
    </xf>
    <xf numFmtId="0" fontId="8" fillId="0" borderId="9" xfId="2" quotePrefix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justify" vertical="center" wrapText="1"/>
    </xf>
    <xf numFmtId="165" fontId="22" fillId="0" borderId="8" xfId="2" applyNumberFormat="1" applyFont="1" applyFill="1" applyBorder="1" applyAlignment="1">
      <alignment horizontal="center" vertical="center"/>
    </xf>
    <xf numFmtId="165" fontId="22" fillId="0" borderId="9" xfId="2" applyNumberFormat="1" applyFont="1" applyFill="1" applyBorder="1" applyAlignment="1">
      <alignment horizontal="center" vertical="center"/>
    </xf>
    <xf numFmtId="165" fontId="22" fillId="0" borderId="9" xfId="2" applyNumberFormat="1" applyFont="1" applyFill="1" applyBorder="1" applyAlignment="1">
      <alignment horizontal="center" vertical="center" wrapText="1"/>
    </xf>
    <xf numFmtId="165" fontId="19" fillId="0" borderId="9" xfId="2" applyNumberFormat="1" applyFont="1" applyFill="1" applyBorder="1" applyAlignment="1">
      <alignment horizontal="center" vertical="center" wrapText="1"/>
    </xf>
    <xf numFmtId="165" fontId="19" fillId="0" borderId="9" xfId="2" applyNumberFormat="1" applyFont="1" applyFill="1" applyBorder="1" applyAlignment="1">
      <alignment horizontal="center" vertical="center"/>
    </xf>
    <xf numFmtId="165" fontId="22" fillId="0" borderId="9" xfId="3" applyNumberFormat="1" applyFont="1" applyFill="1" applyBorder="1" applyAlignment="1">
      <alignment horizontal="center" vertical="center" wrapText="1"/>
    </xf>
    <xf numFmtId="165" fontId="8" fillId="0" borderId="9" xfId="2" applyNumberFormat="1" applyFont="1" applyFill="1" applyBorder="1" applyAlignment="1">
      <alignment horizontal="center" vertical="center" wrapText="1"/>
    </xf>
    <xf numFmtId="165" fontId="19" fillId="0" borderId="9" xfId="5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right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justify" vertical="center" wrapText="1"/>
    </xf>
    <xf numFmtId="3" fontId="3" fillId="2" borderId="9" xfId="1" applyNumberFormat="1" applyFont="1" applyFill="1" applyBorder="1" applyAlignment="1">
      <alignment horizontal="right" vertical="center" wrapText="1"/>
    </xf>
    <xf numFmtId="0" fontId="4" fillId="2" borderId="9" xfId="1" quotePrefix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Alignment="1">
      <alignment vertical="center"/>
    </xf>
    <xf numFmtId="0" fontId="1" fillId="0" borderId="0" xfId="9"/>
    <xf numFmtId="0" fontId="24" fillId="0" borderId="0" xfId="9" applyFont="1"/>
    <xf numFmtId="0" fontId="1" fillId="0" borderId="12" xfId="9" applyBorder="1"/>
    <xf numFmtId="165" fontId="8" fillId="0" borderId="0" xfId="2" applyNumberFormat="1" applyFont="1" applyFill="1" applyAlignment="1">
      <alignment vertical="center"/>
    </xf>
    <xf numFmtId="0" fontId="22" fillId="0" borderId="10" xfId="3" quotePrefix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left" vertical="center" wrapText="1"/>
    </xf>
    <xf numFmtId="165" fontId="22" fillId="0" borderId="10" xfId="2" applyNumberFormat="1" applyFont="1" applyFill="1" applyBorder="1" applyAlignment="1">
      <alignment vertical="center"/>
    </xf>
    <xf numFmtId="0" fontId="22" fillId="2" borderId="9" xfId="0" applyFont="1" applyFill="1" applyBorder="1" applyAlignment="1">
      <alignment horizontal="justify" vertical="center" wrapText="1"/>
    </xf>
    <xf numFmtId="0" fontId="5" fillId="0" borderId="9" xfId="9" applyFont="1" applyBorder="1" applyAlignment="1">
      <alignment horizontal="center" vertical="center"/>
    </xf>
    <xf numFmtId="3" fontId="5" fillId="0" borderId="9" xfId="9" applyNumberFormat="1" applyFont="1" applyBorder="1" applyAlignment="1">
      <alignment horizontal="center" vertical="center"/>
    </xf>
    <xf numFmtId="1" fontId="8" fillId="0" borderId="9" xfId="4" applyNumberFormat="1" applyFont="1" applyFill="1" applyBorder="1" applyAlignment="1">
      <alignment vertical="center" wrapText="1"/>
    </xf>
    <xf numFmtId="0" fontId="25" fillId="0" borderId="12" xfId="9" applyFont="1" applyBorder="1" applyAlignment="1">
      <alignment vertical="center"/>
    </xf>
    <xf numFmtId="0" fontId="3" fillId="2" borderId="14" xfId="1" applyFont="1" applyFill="1" applyBorder="1" applyAlignment="1">
      <alignment horizontal="center" vertical="center" wrapText="1"/>
    </xf>
    <xf numFmtId="3" fontId="3" fillId="2" borderId="14" xfId="1" applyNumberFormat="1" applyFont="1" applyFill="1" applyBorder="1" applyAlignment="1">
      <alignment horizontal="right" vertical="center" wrapText="1"/>
    </xf>
    <xf numFmtId="0" fontId="3" fillId="2" borderId="14" xfId="1" applyFont="1" applyFill="1" applyBorder="1" applyAlignment="1">
      <alignment horizontal="left" vertical="center" wrapText="1"/>
    </xf>
    <xf numFmtId="0" fontId="19" fillId="0" borderId="0" xfId="2" applyFont="1" applyFill="1" applyAlignment="1">
      <alignment vertical="center"/>
    </xf>
    <xf numFmtId="0" fontId="8" fillId="0" borderId="9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right" vertical="center" wrapText="1"/>
    </xf>
    <xf numFmtId="0" fontId="14" fillId="0" borderId="1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vertical="center" wrapText="1"/>
    </xf>
    <xf numFmtId="165" fontId="26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2" fillId="0" borderId="9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7" fillId="0" borderId="9" xfId="2" applyFont="1" applyFill="1" applyBorder="1" applyAlignment="1">
      <alignment horizontal="justify" vertical="center" wrapText="1"/>
    </xf>
    <xf numFmtId="0" fontId="15" fillId="0" borderId="9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vertical="center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0" xfId="3" applyFont="1" applyFill="1" applyBorder="1" applyAlignment="1">
      <alignment horizontal="center" vertical="center" wrapText="1"/>
    </xf>
    <xf numFmtId="165" fontId="22" fillId="0" borderId="10" xfId="3" applyNumberFormat="1" applyFont="1" applyFill="1" applyBorder="1" applyAlignment="1">
      <alignment horizontal="center" vertical="center" wrapText="1"/>
    </xf>
    <xf numFmtId="165" fontId="22" fillId="0" borderId="10" xfId="1" applyNumberFormat="1" applyFont="1" applyFill="1" applyBorder="1" applyAlignment="1">
      <alignment vertical="center" wrapText="1"/>
    </xf>
    <xf numFmtId="3" fontId="22" fillId="0" borderId="10" xfId="2" applyNumberFormat="1" applyFont="1" applyFill="1" applyBorder="1" applyAlignment="1">
      <alignment horizontal="justify" vertical="center" wrapText="1"/>
    </xf>
    <xf numFmtId="0" fontId="8" fillId="0" borderId="9" xfId="1" applyFont="1" applyFill="1" applyBorder="1" applyAlignment="1">
      <alignment horizontal="center" vertical="center" wrapText="1"/>
    </xf>
    <xf numFmtId="165" fontId="8" fillId="0" borderId="9" xfId="4" applyNumberFormat="1" applyFont="1" applyFill="1" applyBorder="1" applyAlignment="1">
      <alignment horizontal="center" vertical="center" wrapText="1"/>
    </xf>
    <xf numFmtId="165" fontId="8" fillId="0" borderId="9" xfId="4" applyNumberFormat="1" applyFont="1" applyFill="1" applyBorder="1" applyAlignment="1">
      <alignment horizontal="right" vertical="center" wrapText="1"/>
    </xf>
    <xf numFmtId="0" fontId="8" fillId="0" borderId="16" xfId="2" applyFont="1" applyFill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2" applyFont="1" applyFill="1" applyBorder="1" applyAlignment="1">
      <alignment vertical="center" wrapText="1"/>
    </xf>
    <xf numFmtId="0" fontId="8" fillId="0" borderId="16" xfId="2" applyFont="1" applyFill="1" applyBorder="1" applyAlignment="1">
      <alignment horizontal="center" vertical="center" wrapText="1"/>
    </xf>
    <xf numFmtId="165" fontId="8" fillId="0" borderId="16" xfId="6" applyNumberFormat="1" applyFont="1" applyFill="1" applyBorder="1" applyAlignment="1">
      <alignment horizontal="center" vertical="center" wrapText="1"/>
    </xf>
    <xf numFmtId="165" fontId="8" fillId="0" borderId="16" xfId="6" applyNumberFormat="1" applyFont="1" applyFill="1" applyBorder="1" applyAlignment="1">
      <alignment horizontal="right" vertical="center" wrapText="1"/>
    </xf>
    <xf numFmtId="165" fontId="8" fillId="0" borderId="16" xfId="2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7" xfId="1" quotePrefix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justify" vertical="center" wrapText="1"/>
    </xf>
    <xf numFmtId="3" fontId="3" fillId="2" borderId="6" xfId="1" applyNumberFormat="1" applyFont="1" applyFill="1" applyBorder="1" applyAlignment="1">
      <alignment horizontal="right" vertical="center" wrapText="1"/>
    </xf>
    <xf numFmtId="0" fontId="22" fillId="0" borderId="16" xfId="3" quotePrefix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left" vertical="center" wrapText="1"/>
    </xf>
    <xf numFmtId="0" fontId="33" fillId="0" borderId="9" xfId="2" applyFont="1" applyFill="1" applyBorder="1" applyAlignment="1">
      <alignment horizontal="center" vertical="center"/>
    </xf>
    <xf numFmtId="165" fontId="35" fillId="0" borderId="9" xfId="5" applyNumberFormat="1" applyFont="1" applyFill="1" applyBorder="1" applyAlignment="1">
      <alignment vertical="center"/>
    </xf>
    <xf numFmtId="0" fontId="7" fillId="0" borderId="16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vertical="center"/>
    </xf>
    <xf numFmtId="0" fontId="7" fillId="0" borderId="16" xfId="2" applyFont="1" applyFill="1" applyBorder="1" applyAlignment="1">
      <alignment horizontal="justify" vertical="center" wrapText="1"/>
    </xf>
    <xf numFmtId="0" fontId="33" fillId="0" borderId="9" xfId="2" applyFont="1" applyFill="1" applyBorder="1" applyAlignment="1">
      <alignment vertical="center"/>
    </xf>
    <xf numFmtId="165" fontId="33" fillId="0" borderId="9" xfId="2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166" fontId="3" fillId="2" borderId="8" xfId="1" applyNumberFormat="1" applyFont="1" applyFill="1" applyBorder="1" applyAlignment="1">
      <alignment horizontal="right" vertical="center" wrapText="1"/>
    </xf>
    <xf numFmtId="166" fontId="3" fillId="2" borderId="14" xfId="1" applyNumberFormat="1" applyFont="1" applyFill="1" applyBorder="1" applyAlignment="1">
      <alignment horizontal="right" vertical="center" wrapText="1"/>
    </xf>
    <xf numFmtId="166" fontId="3" fillId="2" borderId="9" xfId="1" applyNumberFormat="1" applyFont="1" applyFill="1" applyBorder="1" applyAlignment="1">
      <alignment horizontal="right" vertical="center" wrapText="1"/>
    </xf>
    <xf numFmtId="166" fontId="4" fillId="2" borderId="9" xfId="1" applyNumberFormat="1" applyFont="1" applyFill="1" applyBorder="1" applyAlignment="1">
      <alignment horizontal="right" vertical="center" wrapText="1"/>
    </xf>
    <xf numFmtId="166" fontId="3" fillId="2" borderId="10" xfId="1" applyNumberFormat="1" applyFont="1" applyFill="1" applyBorder="1" applyAlignment="1">
      <alignment horizontal="right" vertical="center" wrapText="1"/>
    </xf>
    <xf numFmtId="166" fontId="3" fillId="2" borderId="6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7" fontId="22" fillId="0" borderId="8" xfId="2" applyNumberFormat="1" applyFont="1" applyFill="1" applyBorder="1" applyAlignment="1">
      <alignment horizontal="center" vertical="center"/>
    </xf>
    <xf numFmtId="167" fontId="22" fillId="0" borderId="9" xfId="2" applyNumberFormat="1" applyFont="1" applyFill="1" applyBorder="1" applyAlignment="1">
      <alignment vertical="center"/>
    </xf>
    <xf numFmtId="167" fontId="8" fillId="0" borderId="9" xfId="2" applyNumberFormat="1" applyFont="1" applyFill="1" applyBorder="1" applyAlignment="1">
      <alignment vertical="center"/>
    </xf>
    <xf numFmtId="167" fontId="19" fillId="0" borderId="9" xfId="5" applyNumberFormat="1" applyFont="1" applyFill="1" applyBorder="1" applyAlignment="1">
      <alignment vertical="center"/>
    </xf>
    <xf numFmtId="167" fontId="19" fillId="0" borderId="9" xfId="2" applyNumberFormat="1" applyFont="1" applyFill="1" applyBorder="1" applyAlignment="1">
      <alignment vertical="center"/>
    </xf>
    <xf numFmtId="0" fontId="22" fillId="0" borderId="10" xfId="2" quotePrefix="1" applyFont="1" applyFill="1" applyBorder="1" applyAlignment="1">
      <alignment horizontal="center" vertical="center"/>
    </xf>
    <xf numFmtId="0" fontId="22" fillId="0" borderId="10" xfId="2" applyFont="1" applyFill="1" applyBorder="1" applyAlignment="1">
      <alignment horizontal="justify" vertical="center" wrapText="1"/>
    </xf>
    <xf numFmtId="0" fontId="22" fillId="0" borderId="10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vertical="center" wrapText="1"/>
    </xf>
    <xf numFmtId="4" fontId="22" fillId="0" borderId="10" xfId="2" applyNumberFormat="1" applyFont="1" applyFill="1" applyBorder="1" applyAlignment="1">
      <alignment horizontal="center" vertical="center" wrapText="1"/>
    </xf>
    <xf numFmtId="165" fontId="22" fillId="0" borderId="10" xfId="2" applyNumberFormat="1" applyFont="1" applyFill="1" applyBorder="1" applyAlignment="1">
      <alignment horizontal="center" vertical="center"/>
    </xf>
    <xf numFmtId="167" fontId="22" fillId="0" borderId="10" xfId="2" applyNumberFormat="1" applyFont="1" applyFill="1" applyBorder="1" applyAlignment="1">
      <alignment vertical="center"/>
    </xf>
    <xf numFmtId="3" fontId="8" fillId="0" borderId="10" xfId="2" applyNumberFormat="1" applyFont="1" applyFill="1" applyBorder="1" applyAlignment="1">
      <alignment horizontal="justify" vertical="center" wrapText="1"/>
    </xf>
    <xf numFmtId="166" fontId="19" fillId="0" borderId="9" xfId="2" applyNumberFormat="1" applyFont="1" applyFill="1" applyBorder="1" applyAlignment="1">
      <alignment vertical="center"/>
    </xf>
    <xf numFmtId="166" fontId="7" fillId="0" borderId="0" xfId="2" applyNumberFormat="1" applyFont="1" applyFill="1" applyAlignment="1">
      <alignment vertical="center"/>
    </xf>
    <xf numFmtId="3" fontId="8" fillId="2" borderId="9" xfId="4" quotePrefix="1" applyNumberFormat="1" applyFont="1" applyFill="1" applyBorder="1" applyAlignment="1">
      <alignment horizontal="center" vertical="center" wrapText="1"/>
    </xf>
    <xf numFmtId="3" fontId="8" fillId="2" borderId="9" xfId="6" applyNumberFormat="1" applyFont="1" applyFill="1" applyBorder="1" applyAlignment="1">
      <alignment vertical="center" wrapText="1"/>
    </xf>
    <xf numFmtId="3" fontId="8" fillId="2" borderId="9" xfId="6" applyNumberFormat="1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9" xfId="6" applyFont="1" applyFill="1" applyBorder="1" applyAlignment="1">
      <alignment horizontal="center" vertical="center" wrapText="1"/>
    </xf>
    <xf numFmtId="168" fontId="8" fillId="2" borderId="9" xfId="6" applyNumberFormat="1" applyFont="1" applyFill="1" applyBorder="1" applyAlignment="1">
      <alignment horizontal="center" vertical="center" wrapText="1"/>
    </xf>
    <xf numFmtId="165" fontId="8" fillId="2" borderId="9" xfId="2" applyNumberFormat="1" applyFont="1" applyFill="1" applyBorder="1" applyAlignment="1">
      <alignment horizontal="center" vertical="center"/>
    </xf>
    <xf numFmtId="3" fontId="8" fillId="2" borderId="9" xfId="2" applyNumberFormat="1" applyFont="1" applyFill="1" applyBorder="1" applyAlignment="1">
      <alignment horizontal="justify" vertical="center" wrapText="1"/>
    </xf>
    <xf numFmtId="165" fontId="22" fillId="0" borderId="9" xfId="2" applyNumberFormat="1" applyFont="1" applyFill="1" applyBorder="1" applyAlignment="1">
      <alignment horizontal="right" vertical="center"/>
    </xf>
    <xf numFmtId="165" fontId="22" fillId="0" borderId="14" xfId="2" applyNumberFormat="1" applyFont="1" applyFill="1" applyBorder="1" applyAlignment="1">
      <alignment vertical="center" wrapText="1"/>
    </xf>
    <xf numFmtId="165" fontId="19" fillId="0" borderId="9" xfId="2" applyNumberFormat="1" applyFont="1" applyFill="1" applyBorder="1" applyAlignment="1">
      <alignment vertical="center" wrapText="1"/>
    </xf>
    <xf numFmtId="165" fontId="19" fillId="0" borderId="9" xfId="2" applyNumberFormat="1" applyFont="1" applyFill="1" applyBorder="1" applyAlignment="1">
      <alignment horizontal="right" vertical="center" wrapText="1"/>
    </xf>
    <xf numFmtId="3" fontId="22" fillId="0" borderId="8" xfId="2" applyNumberFormat="1" applyFont="1" applyFill="1" applyBorder="1" applyAlignment="1">
      <alignment horizontal="left" vertical="center" wrapText="1"/>
    </xf>
    <xf numFmtId="3" fontId="22" fillId="0" borderId="9" xfId="2" applyNumberFormat="1" applyFont="1" applyFill="1" applyBorder="1" applyAlignment="1">
      <alignment horizontal="left" vertical="center" wrapText="1"/>
    </xf>
    <xf numFmtId="3" fontId="8" fillId="0" borderId="9" xfId="2" applyNumberFormat="1" applyFont="1" applyFill="1" applyBorder="1" applyAlignment="1">
      <alignment horizontal="left" vertical="center" wrapText="1"/>
    </xf>
    <xf numFmtId="3" fontId="19" fillId="0" borderId="9" xfId="2" applyNumberFormat="1" applyFont="1" applyFill="1" applyBorder="1" applyAlignment="1">
      <alignment horizontal="left" vertical="center" wrapText="1"/>
    </xf>
    <xf numFmtId="167" fontId="22" fillId="0" borderId="9" xfId="2" applyNumberFormat="1" applyFont="1" applyFill="1" applyBorder="1" applyAlignment="1">
      <alignment horizontal="center" vertical="center"/>
    </xf>
    <xf numFmtId="167" fontId="8" fillId="0" borderId="9" xfId="2" applyNumberFormat="1" applyFont="1" applyFill="1" applyBorder="1" applyAlignment="1">
      <alignment horizontal="center" vertical="center"/>
    </xf>
    <xf numFmtId="167" fontId="7" fillId="0" borderId="9" xfId="2" applyNumberFormat="1" applyFont="1" applyFill="1" applyBorder="1" applyAlignment="1">
      <alignment vertical="center"/>
    </xf>
    <xf numFmtId="167" fontId="33" fillId="0" borderId="9" xfId="2" applyNumberFormat="1" applyFont="1" applyFill="1" applyBorder="1" applyAlignment="1">
      <alignment horizontal="center" vertical="center"/>
    </xf>
    <xf numFmtId="167" fontId="8" fillId="0" borderId="9" xfId="6" applyNumberFormat="1" applyFont="1" applyFill="1" applyBorder="1" applyAlignment="1">
      <alignment horizontal="center" vertical="center" wrapText="1"/>
    </xf>
    <xf numFmtId="167" fontId="8" fillId="0" borderId="9" xfId="6" applyNumberFormat="1" applyFont="1" applyFill="1" applyBorder="1" applyAlignment="1">
      <alignment horizontal="right" vertical="center" wrapText="1"/>
    </xf>
    <xf numFmtId="167" fontId="8" fillId="0" borderId="16" xfId="6" applyNumberFormat="1" applyFont="1" applyFill="1" applyBorder="1" applyAlignment="1">
      <alignment horizontal="center" vertical="center" wrapText="1"/>
    </xf>
    <xf numFmtId="167" fontId="8" fillId="0" borderId="16" xfId="6" applyNumberFormat="1" applyFont="1" applyFill="1" applyBorder="1" applyAlignment="1">
      <alignment horizontal="right" vertical="center" wrapText="1"/>
    </xf>
    <xf numFmtId="167" fontId="7" fillId="0" borderId="16" xfId="2" applyNumberFormat="1" applyFont="1" applyFill="1" applyBorder="1" applyAlignment="1">
      <alignment vertical="center"/>
    </xf>
    <xf numFmtId="167" fontId="8" fillId="2" borderId="9" xfId="2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166" fontId="8" fillId="0" borderId="0" xfId="2" applyNumberFormat="1" applyFont="1" applyFill="1" applyAlignment="1">
      <alignment horizontal="right" vertical="center"/>
    </xf>
    <xf numFmtId="166" fontId="19" fillId="0" borderId="8" xfId="4" quotePrefix="1" applyNumberFormat="1" applyFont="1" applyFill="1" applyBorder="1" applyAlignment="1">
      <alignment horizontal="right" vertical="center" wrapText="1"/>
    </xf>
    <xf numFmtId="167" fontId="22" fillId="0" borderId="8" xfId="2" applyNumberFormat="1" applyFont="1" applyFill="1" applyBorder="1" applyAlignment="1">
      <alignment horizontal="right" vertical="center"/>
    </xf>
    <xf numFmtId="167" fontId="22" fillId="0" borderId="9" xfId="2" applyNumberFormat="1" applyFont="1" applyFill="1" applyBorder="1" applyAlignment="1">
      <alignment horizontal="right" vertical="center"/>
    </xf>
    <xf numFmtId="167" fontId="8" fillId="0" borderId="9" xfId="2" applyNumberFormat="1" applyFont="1" applyFill="1" applyBorder="1" applyAlignment="1">
      <alignment horizontal="right" vertical="center"/>
    </xf>
    <xf numFmtId="167" fontId="22" fillId="0" borderId="14" xfId="2" applyNumberFormat="1" applyFont="1" applyFill="1" applyBorder="1" applyAlignment="1">
      <alignment vertical="center" wrapText="1"/>
    </xf>
    <xf numFmtId="167" fontId="19" fillId="0" borderId="9" xfId="2" applyNumberFormat="1" applyFont="1" applyFill="1" applyBorder="1" applyAlignment="1">
      <alignment horizontal="right" vertical="center"/>
    </xf>
    <xf numFmtId="167" fontId="19" fillId="0" borderId="9" xfId="2" applyNumberFormat="1" applyFont="1" applyFill="1" applyBorder="1" applyAlignment="1">
      <alignment horizontal="right" vertical="center" wrapText="1"/>
    </xf>
    <xf numFmtId="166" fontId="7" fillId="0" borderId="0" xfId="2" applyNumberFormat="1" applyFont="1" applyFill="1" applyAlignment="1">
      <alignment horizontal="right" vertical="center"/>
    </xf>
    <xf numFmtId="0" fontId="8" fillId="0" borderId="9" xfId="0" quotePrefix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5" fillId="0" borderId="9" xfId="2" applyFont="1" applyFill="1" applyBorder="1" applyAlignment="1">
      <alignment horizontal="center" vertical="center"/>
    </xf>
    <xf numFmtId="165" fontId="35" fillId="0" borderId="9" xfId="2" applyNumberFormat="1" applyFont="1" applyFill="1" applyBorder="1" applyAlignment="1">
      <alignment horizontal="center" vertical="center"/>
    </xf>
    <xf numFmtId="166" fontId="22" fillId="0" borderId="10" xfId="2" applyNumberFormat="1" applyFont="1" applyFill="1" applyBorder="1" applyAlignment="1">
      <alignment vertical="center"/>
    </xf>
    <xf numFmtId="167" fontId="22" fillId="0" borderId="10" xfId="2" applyNumberFormat="1" applyFont="1" applyFill="1" applyBorder="1" applyAlignment="1">
      <alignment horizontal="right" vertical="center"/>
    </xf>
    <xf numFmtId="3" fontId="22" fillId="0" borderId="10" xfId="2" applyNumberFormat="1" applyFont="1" applyFill="1" applyBorder="1" applyAlignment="1">
      <alignment horizontal="left" vertical="center" wrapText="1"/>
    </xf>
    <xf numFmtId="167" fontId="8" fillId="2" borderId="9" xfId="6" applyNumberFormat="1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166" fontId="19" fillId="0" borderId="8" xfId="4" quotePrefix="1" applyNumberFormat="1" applyFont="1" applyFill="1" applyBorder="1" applyAlignment="1">
      <alignment horizontal="center" vertical="center" wrapText="1"/>
    </xf>
    <xf numFmtId="166" fontId="22" fillId="0" borderId="8" xfId="2" applyNumberFormat="1" applyFont="1" applyFill="1" applyBorder="1" applyAlignment="1">
      <alignment horizontal="right" vertical="center"/>
    </xf>
    <xf numFmtId="166" fontId="22" fillId="0" borderId="9" xfId="2" applyNumberFormat="1" applyFont="1" applyFill="1" applyBorder="1" applyAlignment="1">
      <alignment horizontal="right" vertical="center"/>
    </xf>
    <xf numFmtId="166" fontId="8" fillId="0" borderId="9" xfId="2" applyNumberFormat="1" applyFont="1" applyFill="1" applyBorder="1" applyAlignment="1">
      <alignment horizontal="center" vertical="center"/>
    </xf>
    <xf numFmtId="166" fontId="8" fillId="0" borderId="9" xfId="4" applyNumberFormat="1" applyFont="1" applyFill="1" applyBorder="1" applyAlignment="1">
      <alignment horizontal="right" vertical="center"/>
    </xf>
    <xf numFmtId="166" fontId="22" fillId="0" borderId="14" xfId="2" applyNumberFormat="1" applyFont="1" applyFill="1" applyBorder="1" applyAlignment="1">
      <alignment vertical="center" wrapText="1"/>
    </xf>
    <xf numFmtId="166" fontId="19" fillId="0" borderId="9" xfId="2" applyNumberFormat="1" applyFont="1" applyFill="1" applyBorder="1" applyAlignment="1">
      <alignment vertical="center" wrapText="1"/>
    </xf>
    <xf numFmtId="166" fontId="8" fillId="0" borderId="9" xfId="2" applyNumberFormat="1" applyFont="1" applyFill="1" applyBorder="1" applyAlignment="1">
      <alignment vertical="center"/>
    </xf>
    <xf numFmtId="166" fontId="8" fillId="0" borderId="9" xfId="2" applyNumberFormat="1" applyFont="1" applyFill="1" applyBorder="1" applyAlignment="1">
      <alignment horizontal="right" vertical="center"/>
    </xf>
    <xf numFmtId="166" fontId="8" fillId="0" borderId="9" xfId="2" applyNumberFormat="1" applyFont="1" applyFill="1" applyBorder="1" applyAlignment="1">
      <alignment horizontal="center" vertical="center" wrapText="1"/>
    </xf>
    <xf numFmtId="166" fontId="22" fillId="0" borderId="9" xfId="2" applyNumberFormat="1" applyFont="1" applyFill="1" applyBorder="1" applyAlignment="1">
      <alignment vertical="center"/>
    </xf>
    <xf numFmtId="166" fontId="22" fillId="0" borderId="9" xfId="2" applyNumberFormat="1" applyFont="1" applyFill="1" applyBorder="1" applyAlignment="1">
      <alignment horizontal="center" vertical="center"/>
    </xf>
    <xf numFmtId="166" fontId="19" fillId="0" borderId="9" xfId="5" applyNumberFormat="1" applyFont="1" applyFill="1" applyBorder="1" applyAlignment="1">
      <alignment vertical="center"/>
    </xf>
    <xf numFmtId="166" fontId="8" fillId="0" borderId="9" xfId="6" applyNumberFormat="1" applyFont="1" applyFill="1" applyBorder="1" applyAlignment="1">
      <alignment horizontal="right" vertical="center" wrapText="1"/>
    </xf>
    <xf numFmtId="166" fontId="19" fillId="0" borderId="9" xfId="2" applyNumberFormat="1" applyFont="1" applyFill="1" applyBorder="1" applyAlignment="1">
      <alignment horizontal="center" vertical="center" wrapText="1"/>
    </xf>
    <xf numFmtId="166" fontId="19" fillId="0" borderId="9" xfId="2" applyNumberFormat="1" applyFont="1" applyFill="1" applyBorder="1" applyAlignment="1">
      <alignment horizontal="right" vertical="center" wrapText="1"/>
    </xf>
    <xf numFmtId="166" fontId="19" fillId="0" borderId="9" xfId="2" applyNumberFormat="1" applyFont="1" applyFill="1" applyBorder="1" applyAlignment="1">
      <alignment horizontal="right" vertical="center"/>
    </xf>
    <xf numFmtId="0" fontId="37" fillId="0" borderId="0" xfId="2" applyFont="1" applyFill="1" applyAlignment="1">
      <alignment vertical="center"/>
    </xf>
    <xf numFmtId="0" fontId="38" fillId="0" borderId="0" xfId="2" applyFont="1" applyFill="1" applyAlignment="1">
      <alignment vertical="center"/>
    </xf>
    <xf numFmtId="0" fontId="39" fillId="0" borderId="0" xfId="2" applyFont="1" applyFill="1" applyAlignment="1">
      <alignment vertical="center"/>
    </xf>
    <xf numFmtId="0" fontId="37" fillId="0" borderId="0" xfId="1" applyFont="1" applyAlignment="1">
      <alignment vertical="center"/>
    </xf>
    <xf numFmtId="0" fontId="37" fillId="0" borderId="0" xfId="1" applyFont="1" applyFill="1" applyAlignment="1">
      <alignment vertical="center"/>
    </xf>
    <xf numFmtId="0" fontId="37" fillId="2" borderId="0" xfId="1" applyFont="1" applyFill="1" applyAlignment="1">
      <alignment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166" fontId="8" fillId="0" borderId="1" xfId="4" applyNumberFormat="1" applyFont="1" applyFill="1" applyBorder="1" applyAlignment="1">
      <alignment horizontal="center" vertical="center" wrapText="1"/>
    </xf>
    <xf numFmtId="3" fontId="18" fillId="0" borderId="4" xfId="4" applyNumberFormat="1" applyFont="1" applyFill="1" applyBorder="1" applyAlignment="1">
      <alignment horizontal="center" vertical="center" wrapText="1"/>
    </xf>
    <xf numFmtId="0" fontId="19" fillId="0" borderId="14" xfId="3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3" fontId="19" fillId="0" borderId="14" xfId="4" quotePrefix="1" applyNumberFormat="1" applyFont="1" applyFill="1" applyBorder="1" applyAlignment="1">
      <alignment horizontal="center" vertical="center" wrapText="1"/>
    </xf>
    <xf numFmtId="0" fontId="40" fillId="0" borderId="0" xfId="1" applyFont="1" applyAlignment="1">
      <alignment vertical="center"/>
    </xf>
    <xf numFmtId="0" fontId="40" fillId="0" borderId="0" xfId="1" applyFont="1" applyFill="1" applyAlignment="1">
      <alignment vertical="center"/>
    </xf>
    <xf numFmtId="0" fontId="40" fillId="2" borderId="0" xfId="1" applyFont="1" applyFill="1" applyAlignment="1">
      <alignment vertical="center"/>
    </xf>
    <xf numFmtId="167" fontId="22" fillId="0" borderId="14" xfId="2" applyNumberFormat="1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center" vertical="center" wrapText="1"/>
    </xf>
    <xf numFmtId="4" fontId="22" fillId="0" borderId="9" xfId="2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justify" vertical="center" wrapText="1"/>
    </xf>
    <xf numFmtId="0" fontId="8" fillId="0" borderId="9" xfId="2" applyFont="1" applyFill="1" applyBorder="1" applyAlignment="1">
      <alignment horizontal="left" vertical="center" wrapText="1"/>
    </xf>
    <xf numFmtId="4" fontId="7" fillId="0" borderId="0" xfId="2" applyNumberFormat="1" applyFont="1" applyFill="1" applyAlignment="1">
      <alignment vertical="center"/>
    </xf>
    <xf numFmtId="4" fontId="20" fillId="0" borderId="0" xfId="2" applyNumberFormat="1" applyFont="1" applyFill="1" applyAlignment="1">
      <alignment vertical="center"/>
    </xf>
    <xf numFmtId="4" fontId="8" fillId="0" borderId="0" xfId="2" applyNumberFormat="1" applyFont="1" applyFill="1" applyAlignment="1">
      <alignment vertical="center"/>
    </xf>
    <xf numFmtId="4" fontId="15" fillId="0" borderId="0" xfId="2" applyNumberFormat="1" applyFont="1" applyFill="1" applyAlignment="1">
      <alignment vertical="center"/>
    </xf>
    <xf numFmtId="4" fontId="19" fillId="0" borderId="0" xfId="2" applyNumberFormat="1" applyFont="1" applyFill="1" applyAlignment="1">
      <alignment vertical="center"/>
    </xf>
    <xf numFmtId="166" fontId="4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  <xf numFmtId="3" fontId="8" fillId="0" borderId="11" xfId="4" applyNumberFormat="1" applyFont="1" applyFill="1" applyBorder="1" applyAlignment="1">
      <alignment horizontal="center" vertical="center" wrapText="1"/>
    </xf>
    <xf numFmtId="3" fontId="8" fillId="0" borderId="12" xfId="4" applyNumberFormat="1" applyFont="1" applyFill="1" applyBorder="1" applyAlignment="1">
      <alignment horizontal="center" vertical="center" wrapText="1"/>
    </xf>
    <xf numFmtId="3" fontId="8" fillId="0" borderId="13" xfId="4" applyNumberFormat="1" applyFont="1" applyFill="1" applyBorder="1" applyAlignment="1">
      <alignment horizontal="center" vertical="center" wrapText="1"/>
    </xf>
    <xf numFmtId="3" fontId="8" fillId="0" borderId="4" xfId="4" applyNumberFormat="1" applyFont="1" applyFill="1" applyBorder="1" applyAlignment="1">
      <alignment horizontal="center" vertical="center" wrapText="1"/>
    </xf>
    <xf numFmtId="3" fontId="8" fillId="0" borderId="7" xfId="4" applyNumberFormat="1" applyFont="1" applyFill="1" applyBorder="1" applyAlignment="1">
      <alignment horizontal="center" vertical="center" wrapText="1"/>
    </xf>
    <xf numFmtId="166" fontId="8" fillId="0" borderId="4" xfId="4" applyNumberFormat="1" applyFont="1" applyFill="1" applyBorder="1" applyAlignment="1">
      <alignment horizontal="center" vertical="center" wrapText="1"/>
    </xf>
    <xf numFmtId="166" fontId="8" fillId="0" borderId="7" xfId="4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166" fontId="8" fillId="0" borderId="1" xfId="4" applyNumberFormat="1" applyFont="1" applyFill="1" applyBorder="1" applyAlignment="1">
      <alignment horizontal="center" vertical="center" wrapText="1"/>
    </xf>
    <xf numFmtId="0" fontId="28" fillId="0" borderId="0" xfId="9" applyFont="1" applyAlignment="1">
      <alignment horizontal="center"/>
    </xf>
    <xf numFmtId="0" fontId="28" fillId="0" borderId="0" xfId="9" applyFont="1" applyAlignment="1">
      <alignment horizontal="center" vertical="center" wrapText="1"/>
    </xf>
    <xf numFmtId="0" fontId="41" fillId="0" borderId="1" xfId="9" applyFont="1" applyBorder="1" applyAlignment="1">
      <alignment horizontal="center" vertical="center"/>
    </xf>
    <xf numFmtId="0" fontId="41" fillId="0" borderId="4" xfId="9" applyFont="1" applyBorder="1" applyAlignment="1">
      <alignment horizontal="center" vertical="center"/>
    </xf>
    <xf numFmtId="0" fontId="41" fillId="0" borderId="7" xfId="9" applyFont="1" applyBorder="1" applyAlignment="1">
      <alignment horizontal="center" vertical="center"/>
    </xf>
    <xf numFmtId="0" fontId="41" fillId="0" borderId="6" xfId="9" applyFont="1" applyBorder="1" applyAlignment="1">
      <alignment horizontal="center" vertical="center"/>
    </xf>
    <xf numFmtId="0" fontId="41" fillId="0" borderId="2" xfId="9" applyFont="1" applyBorder="1" applyAlignment="1">
      <alignment horizontal="center" vertical="center" wrapText="1"/>
    </xf>
    <xf numFmtId="0" fontId="41" fillId="0" borderId="3" xfId="9" applyFont="1" applyBorder="1" applyAlignment="1">
      <alignment horizontal="center" vertical="center" wrapText="1"/>
    </xf>
    <xf numFmtId="0" fontId="41" fillId="0" borderId="5" xfId="9" applyFont="1" applyBorder="1" applyAlignment="1">
      <alignment horizontal="center" vertical="center" wrapText="1"/>
    </xf>
    <xf numFmtId="0" fontId="41" fillId="0" borderId="1" xfId="9" applyFont="1" applyBorder="1" applyAlignment="1">
      <alignment horizontal="center" vertical="center" wrapText="1"/>
    </xf>
    <xf numFmtId="0" fontId="41" fillId="0" borderId="4" xfId="9" applyFont="1" applyBorder="1" applyAlignment="1">
      <alignment horizontal="center" vertical="center" wrapText="1"/>
    </xf>
    <xf numFmtId="0" fontId="41" fillId="0" borderId="7" xfId="9" applyFont="1" applyBorder="1" applyAlignment="1">
      <alignment horizontal="center" vertical="center" wrapText="1"/>
    </xf>
    <xf numFmtId="0" fontId="41" fillId="0" borderId="6" xfId="9" applyFont="1" applyBorder="1" applyAlignment="1">
      <alignment horizontal="center" vertical="center" wrapText="1"/>
    </xf>
    <xf numFmtId="0" fontId="36" fillId="0" borderId="1" xfId="9" applyFont="1" applyBorder="1" applyAlignment="1">
      <alignment horizontal="center" vertical="center" wrapText="1"/>
    </xf>
    <xf numFmtId="0" fontId="27" fillId="0" borderId="15" xfId="9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18" fillId="0" borderId="4" xfId="4" applyNumberFormat="1" applyFont="1" applyFill="1" applyBorder="1" applyAlignment="1">
      <alignment horizontal="center" vertical="center" wrapText="1"/>
    </xf>
    <xf numFmtId="3" fontId="18" fillId="0" borderId="7" xfId="4" applyNumberFormat="1" applyFont="1" applyFill="1" applyBorder="1" applyAlignment="1">
      <alignment horizontal="center" vertical="center" wrapText="1"/>
    </xf>
    <xf numFmtId="3" fontId="18" fillId="0" borderId="6" xfId="4" applyNumberFormat="1" applyFont="1" applyFill="1" applyBorder="1" applyAlignment="1">
      <alignment horizontal="center" vertical="center" wrapText="1"/>
    </xf>
    <xf numFmtId="3" fontId="17" fillId="0" borderId="4" xfId="4" applyNumberFormat="1" applyFont="1" applyFill="1" applyBorder="1" applyAlignment="1">
      <alignment horizontal="center" vertical="center" wrapText="1"/>
    </xf>
    <xf numFmtId="3" fontId="17" fillId="0" borderId="7" xfId="4" applyNumberFormat="1" applyFont="1" applyFill="1" applyBorder="1" applyAlignment="1">
      <alignment horizontal="center" vertical="center" wrapText="1"/>
    </xf>
    <xf numFmtId="3" fontId="17" fillId="0" borderId="6" xfId="4" applyNumberFormat="1" applyFont="1" applyFill="1" applyBorder="1" applyAlignment="1">
      <alignment horizontal="center" vertical="center" wrapText="1"/>
    </xf>
  </cellXfs>
  <cellStyles count="12">
    <cellStyle name="Comma 2" xfId="5"/>
    <cellStyle name="Normal" xfId="0" builtinId="0"/>
    <cellStyle name="Normal - Style1 2" xfId="7"/>
    <cellStyle name="Normal 10 2" xfId="1"/>
    <cellStyle name="Normal 10 2 4 2" xfId="9"/>
    <cellStyle name="Normal 43" xfId="6"/>
    <cellStyle name="Normal 43 2" xfId="10"/>
    <cellStyle name="Normal 6 3 2" xfId="3"/>
    <cellStyle name="Normal 6 6" xfId="2"/>
    <cellStyle name="Normal 6 6 2" xfId="11"/>
    <cellStyle name="Normal 8 2" xfId="8"/>
    <cellStyle name="Normal_Bieu mau (CV )" xfId="4"/>
  </cellStyles>
  <dxfs count="0"/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tabSelected="1" topLeftCell="D1" zoomScale="85" zoomScaleNormal="85" workbookViewId="0">
      <selection activeCell="J8" sqref="J8:J14"/>
    </sheetView>
  </sheetViews>
  <sheetFormatPr defaultColWidth="8" defaultRowHeight="23.25" x14ac:dyDescent="0.3"/>
  <cols>
    <col min="1" max="1" width="4.21875" style="1" customWidth="1"/>
    <col min="2" max="2" width="37.21875" style="1" customWidth="1"/>
    <col min="3" max="3" width="9.5546875" style="1" customWidth="1"/>
    <col min="4" max="4" width="10.88671875" style="1" customWidth="1"/>
    <col min="5" max="5" width="8.5546875" style="1" bestFit="1" customWidth="1"/>
    <col min="6" max="6" width="9.5546875" style="1" customWidth="1"/>
    <col min="7" max="7" width="9.88671875" style="1" customWidth="1"/>
    <col min="8" max="8" width="8.5546875" style="1" customWidth="1"/>
    <col min="9" max="9" width="15.88671875" style="1" customWidth="1"/>
    <col min="10" max="10" width="12.33203125" style="1" customWidth="1"/>
    <col min="11" max="11" width="10.6640625" style="1" customWidth="1"/>
    <col min="12" max="23" width="8" style="1"/>
    <col min="24" max="24" width="8" style="243"/>
    <col min="25" max="26" width="8" style="1"/>
    <col min="27" max="27" width="8" style="252"/>
    <col min="28" max="16384" width="8" style="1"/>
  </cols>
  <sheetData>
    <row r="1" spans="1:27" x14ac:dyDescent="0.3">
      <c r="A1" s="269" t="s">
        <v>142</v>
      </c>
      <c r="B1" s="269"/>
      <c r="C1" s="269"/>
      <c r="D1" s="269"/>
      <c r="E1" s="269"/>
      <c r="F1" s="269"/>
      <c r="G1" s="269"/>
      <c r="H1" s="269"/>
      <c r="I1" s="269"/>
    </row>
    <row r="2" spans="1:27" ht="21.75" customHeight="1" x14ac:dyDescent="0.3">
      <c r="A2" s="268" t="s">
        <v>217</v>
      </c>
      <c r="B2" s="268"/>
      <c r="C2" s="268"/>
      <c r="D2" s="268"/>
      <c r="E2" s="268"/>
      <c r="F2" s="268"/>
      <c r="G2" s="268"/>
      <c r="H2" s="268"/>
      <c r="I2" s="268"/>
    </row>
    <row r="3" spans="1:27" x14ac:dyDescent="0.3">
      <c r="F3" s="273" t="s">
        <v>15</v>
      </c>
      <c r="G3" s="273"/>
      <c r="H3" s="273"/>
      <c r="I3" s="273"/>
    </row>
    <row r="4" spans="1:27" ht="51.75" customHeight="1" x14ac:dyDescent="0.3">
      <c r="A4" s="270" t="s">
        <v>0</v>
      </c>
      <c r="B4" s="270" t="s">
        <v>1</v>
      </c>
      <c r="C4" s="271" t="s">
        <v>216</v>
      </c>
      <c r="D4" s="272"/>
      <c r="E4" s="272"/>
      <c r="F4" s="270" t="s">
        <v>215</v>
      </c>
      <c r="G4" s="270"/>
      <c r="H4" s="270"/>
      <c r="I4" s="267" t="s">
        <v>28</v>
      </c>
    </row>
    <row r="5" spans="1:27" ht="20.25" customHeight="1" x14ac:dyDescent="0.3">
      <c r="A5" s="270"/>
      <c r="B5" s="270"/>
      <c r="C5" s="270" t="s">
        <v>2</v>
      </c>
      <c r="D5" s="270" t="s">
        <v>3</v>
      </c>
      <c r="E5" s="270"/>
      <c r="F5" s="274" t="s">
        <v>2</v>
      </c>
      <c r="G5" s="271" t="s">
        <v>3</v>
      </c>
      <c r="H5" s="276"/>
      <c r="I5" s="267"/>
    </row>
    <row r="6" spans="1:27" ht="54" customHeight="1" x14ac:dyDescent="0.3">
      <c r="A6" s="270"/>
      <c r="B6" s="270"/>
      <c r="C6" s="270"/>
      <c r="D6" s="112" t="s">
        <v>4</v>
      </c>
      <c r="E6" s="112" t="s">
        <v>5</v>
      </c>
      <c r="F6" s="275"/>
      <c r="G6" s="112" t="s">
        <v>4</v>
      </c>
      <c r="H6" s="112" t="s">
        <v>5</v>
      </c>
      <c r="I6" s="267"/>
    </row>
    <row r="7" spans="1:27" s="136" customFormat="1" x14ac:dyDescent="0.3">
      <c r="A7" s="134" t="s">
        <v>6</v>
      </c>
      <c r="B7" s="134" t="s">
        <v>7</v>
      </c>
      <c r="C7" s="135" t="s">
        <v>8</v>
      </c>
      <c r="D7" s="135" t="s">
        <v>9</v>
      </c>
      <c r="E7" s="135" t="s">
        <v>10</v>
      </c>
      <c r="F7" s="135" t="s">
        <v>73</v>
      </c>
      <c r="G7" s="135">
        <v>5</v>
      </c>
      <c r="H7" s="135">
        <v>6</v>
      </c>
      <c r="I7" s="135">
        <v>7</v>
      </c>
      <c r="X7" s="244"/>
      <c r="AA7" s="253"/>
    </row>
    <row r="8" spans="1:27" x14ac:dyDescent="0.3">
      <c r="A8" s="77"/>
      <c r="B8" s="77" t="s">
        <v>2</v>
      </c>
      <c r="C8" s="78">
        <f>+C9+C16+C17+C18</f>
        <v>112573</v>
      </c>
      <c r="D8" s="78">
        <f t="shared" ref="D8:G8" si="0">+D9+D16+D17+D18</f>
        <v>112573</v>
      </c>
      <c r="E8" s="78"/>
      <c r="F8" s="154">
        <f t="shared" si="0"/>
        <v>390127.141</v>
      </c>
      <c r="G8" s="154">
        <f t="shared" si="0"/>
        <v>390127.141</v>
      </c>
      <c r="H8" s="78"/>
      <c r="I8" s="154"/>
      <c r="J8" s="266"/>
      <c r="K8" s="266"/>
    </row>
    <row r="9" spans="1:27" x14ac:dyDescent="0.3">
      <c r="A9" s="97" t="s">
        <v>11</v>
      </c>
      <c r="B9" s="99" t="s">
        <v>120</v>
      </c>
      <c r="C9" s="98">
        <f>+C10+C14+C15</f>
        <v>109660</v>
      </c>
      <c r="D9" s="98">
        <f>+D10+D14+D15</f>
        <v>109660</v>
      </c>
      <c r="E9" s="98"/>
      <c r="F9" s="155">
        <f>+F10+F14+F15</f>
        <v>364575.902</v>
      </c>
      <c r="G9" s="155">
        <f>+G10+G14+G15</f>
        <v>364575.902</v>
      </c>
      <c r="H9" s="98"/>
      <c r="I9" s="155"/>
      <c r="J9" s="266"/>
      <c r="K9" s="266"/>
    </row>
    <row r="10" spans="1:27" ht="36.75" customHeight="1" x14ac:dyDescent="0.3">
      <c r="A10" s="79">
        <v>1</v>
      </c>
      <c r="B10" s="80" t="s">
        <v>115</v>
      </c>
      <c r="C10" s="81">
        <f t="shared" ref="C10:D10" si="1">SUM(C11:C13)</f>
        <v>60815</v>
      </c>
      <c r="D10" s="81">
        <f t="shared" si="1"/>
        <v>60815</v>
      </c>
      <c r="E10" s="81"/>
      <c r="F10" s="156">
        <f t="shared" ref="F10:G10" si="2">SUM(F11:F13)</f>
        <v>60815</v>
      </c>
      <c r="G10" s="156">
        <f t="shared" si="2"/>
        <v>60815</v>
      </c>
      <c r="H10" s="81"/>
      <c r="I10" s="156"/>
    </row>
    <row r="11" spans="1:27" ht="36.75" customHeight="1" x14ac:dyDescent="0.3">
      <c r="A11" s="82" t="s">
        <v>109</v>
      </c>
      <c r="B11" s="113" t="s">
        <v>132</v>
      </c>
      <c r="C11" s="83">
        <f t="shared" ref="C11:C13" si="3">SUM(D11:E11)</f>
        <v>39160</v>
      </c>
      <c r="D11" s="83">
        <v>39160</v>
      </c>
      <c r="E11" s="83"/>
      <c r="F11" s="157">
        <f>SUM(G11:H11)</f>
        <v>39160</v>
      </c>
      <c r="G11" s="157">
        <f>'Bieu 02. Chi tiet'!W11</f>
        <v>39160</v>
      </c>
      <c r="H11" s="83"/>
      <c r="I11" s="157"/>
    </row>
    <row r="12" spans="1:27" ht="37.5" customHeight="1" x14ac:dyDescent="0.3">
      <c r="A12" s="82" t="s">
        <v>109</v>
      </c>
      <c r="B12" s="113" t="s">
        <v>145</v>
      </c>
      <c r="C12" s="83">
        <f t="shared" si="3"/>
        <v>11655</v>
      </c>
      <c r="D12" s="83">
        <f>2331*5</f>
        <v>11655</v>
      </c>
      <c r="E12" s="83"/>
      <c r="F12" s="157">
        <f t="shared" ref="F12:F13" si="4">SUM(G12:H12)</f>
        <v>11655</v>
      </c>
      <c r="G12" s="157">
        <f>+'Bieu 02. Chi tiet'!V29</f>
        <v>11655</v>
      </c>
      <c r="H12" s="83"/>
      <c r="I12" s="157"/>
    </row>
    <row r="13" spans="1:27" ht="21" customHeight="1" x14ac:dyDescent="0.3">
      <c r="A13" s="82" t="s">
        <v>109</v>
      </c>
      <c r="B13" s="113" t="s">
        <v>110</v>
      </c>
      <c r="C13" s="83">
        <f t="shared" si="3"/>
        <v>10000</v>
      </c>
      <c r="D13" s="83">
        <v>10000</v>
      </c>
      <c r="E13" s="83"/>
      <c r="F13" s="157">
        <f t="shared" si="4"/>
        <v>10000</v>
      </c>
      <c r="G13" s="157">
        <f>+'Bieu 02. Chi tiet'!V57</f>
        <v>10000</v>
      </c>
      <c r="H13" s="83"/>
      <c r="I13" s="157"/>
    </row>
    <row r="14" spans="1:27" ht="24.75" customHeight="1" x14ac:dyDescent="0.3">
      <c r="A14" s="79">
        <v>2</v>
      </c>
      <c r="B14" s="80" t="s">
        <v>12</v>
      </c>
      <c r="C14" s="81">
        <f>SUM(D14:E14)</f>
        <v>45000</v>
      </c>
      <c r="D14" s="81">
        <v>45000</v>
      </c>
      <c r="E14" s="81"/>
      <c r="F14" s="156">
        <f t="shared" ref="F14" si="5">+G14+H14</f>
        <v>299915.902</v>
      </c>
      <c r="G14" s="156">
        <f>+'Bieu 02. Chi tiet'!V59</f>
        <v>299915.902</v>
      </c>
      <c r="H14" s="81"/>
      <c r="I14" s="156"/>
      <c r="J14" s="266"/>
    </row>
    <row r="15" spans="1:27" ht="60.75" customHeight="1" x14ac:dyDescent="0.3">
      <c r="A15" s="114">
        <v>3</v>
      </c>
      <c r="B15" s="115" t="s">
        <v>146</v>
      </c>
      <c r="C15" s="103">
        <f>D15</f>
        <v>3845</v>
      </c>
      <c r="D15" s="103">
        <f>769*5</f>
        <v>3845</v>
      </c>
      <c r="E15" s="103"/>
      <c r="F15" s="158">
        <f>G15</f>
        <v>3845</v>
      </c>
      <c r="G15" s="158">
        <f>+'Bieu 02. Chi tiet'!V94</f>
        <v>3845</v>
      </c>
      <c r="H15" s="103"/>
      <c r="I15" s="158"/>
    </row>
    <row r="16" spans="1:27" ht="42.75" customHeight="1" x14ac:dyDescent="0.3">
      <c r="A16" s="137" t="s">
        <v>121</v>
      </c>
      <c r="B16" s="138" t="s">
        <v>201</v>
      </c>
      <c r="C16" s="139">
        <f>D16</f>
        <v>2913</v>
      </c>
      <c r="D16" s="139">
        <f>G16</f>
        <v>2913</v>
      </c>
      <c r="E16" s="139"/>
      <c r="F16" s="159">
        <f>G16</f>
        <v>2913</v>
      </c>
      <c r="G16" s="159">
        <f>'Bieu 06 NS tinh'!W11</f>
        <v>2913</v>
      </c>
      <c r="H16" s="139"/>
      <c r="I16" s="159"/>
    </row>
    <row r="17" spans="1:27" s="2" customFormat="1" ht="45" customHeight="1" x14ac:dyDescent="0.3">
      <c r="A17" s="104" t="s">
        <v>13</v>
      </c>
      <c r="B17" s="105" t="s">
        <v>218</v>
      </c>
      <c r="C17" s="106"/>
      <c r="D17" s="106"/>
      <c r="E17" s="106"/>
      <c r="F17" s="160">
        <f>G17</f>
        <v>20721.400000000001</v>
      </c>
      <c r="G17" s="160">
        <f>'Bieu 04 thu de lai dau tu'!T11</f>
        <v>20721.400000000001</v>
      </c>
      <c r="H17" s="107"/>
      <c r="I17" s="160"/>
      <c r="X17" s="245"/>
      <c r="AA17" s="254"/>
    </row>
    <row r="18" spans="1:27" ht="41.25" customHeight="1" x14ac:dyDescent="0.3">
      <c r="A18" s="151" t="s">
        <v>159</v>
      </c>
      <c r="B18" s="105" t="s">
        <v>171</v>
      </c>
      <c r="C18" s="153"/>
      <c r="D18" s="153"/>
      <c r="E18" s="153"/>
      <c r="F18" s="160">
        <f>G18</f>
        <v>1916.8389999999999</v>
      </c>
      <c r="G18" s="160">
        <f>'Bieu 05 Chuyen nguon'!W11</f>
        <v>1916.8389999999999</v>
      </c>
      <c r="H18" s="152"/>
      <c r="I18" s="160"/>
    </row>
    <row r="19" spans="1:27" x14ac:dyDescent="0.3">
      <c r="I19" s="84"/>
    </row>
  </sheetData>
  <mergeCells count="12">
    <mergeCell ref="I4:I6"/>
    <mergeCell ref="A2:I2"/>
    <mergeCell ref="A1:I1"/>
    <mergeCell ref="A4:A6"/>
    <mergeCell ref="B4:B6"/>
    <mergeCell ref="C4:E4"/>
    <mergeCell ref="C5:C6"/>
    <mergeCell ref="D5:E5"/>
    <mergeCell ref="F3:I3"/>
    <mergeCell ref="F4:H4"/>
    <mergeCell ref="F5:F6"/>
    <mergeCell ref="G5:H5"/>
  </mergeCells>
  <phoneticPr fontId="12" type="noConversion"/>
  <printOptions horizontalCentered="1"/>
  <pageMargins left="0.35433070866141736" right="0.19685039370078741" top="0.59055118110236227" bottom="0.39370078740157483" header="0.31496062992125984" footer="0.19685039370078741"/>
  <pageSetup paperSize="9" scale="98" fitToHeight="0" orientation="landscape" r:id="rId1"/>
  <headerFooter>
    <oddFooter>&amp;R&amp;10&amp;N/&amp;N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21"/>
  <sheetViews>
    <sheetView showZeros="0" topLeftCell="O61" zoomScale="80" zoomScaleNormal="80" workbookViewId="0">
      <selection activeCell="W64" sqref="W64"/>
    </sheetView>
  </sheetViews>
  <sheetFormatPr defaultColWidth="8.109375" defaultRowHeight="20.25" outlineLevelRow="2" outlineLevelCol="1" x14ac:dyDescent="0.3"/>
  <cols>
    <col min="1" max="1" width="7.44140625" style="10" hidden="1" customWidth="1"/>
    <col min="2" max="2" width="3.88671875" style="64" customWidth="1"/>
    <col min="3" max="3" width="38.33203125" style="10" customWidth="1"/>
    <col min="4" max="4" width="9.33203125" style="63" bestFit="1" customWidth="1"/>
    <col min="5" max="5" width="8.21875" style="64" hidden="1" customWidth="1" outlineLevel="1"/>
    <col min="6" max="6" width="7.33203125" style="10" hidden="1" customWidth="1" outlineLevel="1"/>
    <col min="7" max="7" width="7.21875" style="64" hidden="1" customWidth="1" outlineLevel="1" collapsed="1"/>
    <col min="8" max="8" width="8.109375" style="64" hidden="1" customWidth="1" outlineLevel="1"/>
    <col min="9" max="9" width="7.5546875" style="64" hidden="1" customWidth="1" outlineLevel="1"/>
    <col min="10" max="10" width="8.33203125" style="64" hidden="1" customWidth="1" outlineLevel="1"/>
    <col min="11" max="11" width="9.33203125" style="64" bestFit="1" customWidth="1" collapsed="1"/>
    <col min="12" max="12" width="6.6640625" style="63" hidden="1" customWidth="1"/>
    <col min="13" max="13" width="7.33203125" style="63" customWidth="1"/>
    <col min="14" max="14" width="10" style="63" customWidth="1"/>
    <col min="15" max="15" width="8.5546875" style="64" customWidth="1"/>
    <col min="16" max="16" width="8.21875" style="10" customWidth="1"/>
    <col min="17" max="17" width="7" style="10" customWidth="1" outlineLevel="1"/>
    <col min="18" max="18" width="7.33203125" style="10" customWidth="1" outlineLevel="1"/>
    <col min="19" max="19" width="7.33203125" style="10" hidden="1" customWidth="1" outlineLevel="1"/>
    <col min="20" max="20" width="7.5546875" style="10" hidden="1" customWidth="1" outlineLevel="1"/>
    <col min="21" max="21" width="6.77734375" style="10" hidden="1" customWidth="1" outlineLevel="1"/>
    <col min="22" max="22" width="9.6640625" style="175" bestFit="1" customWidth="1" outlineLevel="1"/>
    <col min="23" max="23" width="9.6640625" style="175" customWidth="1" outlineLevel="1"/>
    <col min="24" max="24" width="7.6640625" style="10" bestFit="1" customWidth="1" outlineLevel="1"/>
    <col min="25" max="25" width="9.5546875" style="212" hidden="1" customWidth="1" outlineLevel="1"/>
    <col min="26" max="26" width="8.5546875" style="212" hidden="1" customWidth="1" outlineLevel="1"/>
    <col min="27" max="27" width="32.44140625" style="65" customWidth="1" collapsed="1"/>
    <col min="28" max="28" width="10.6640625" style="261" customWidth="1"/>
    <col min="29" max="31" width="8.109375" style="10"/>
    <col min="32" max="34" width="8.21875" style="10" bestFit="1" customWidth="1"/>
    <col min="35" max="44" width="8.109375" style="10"/>
    <col min="45" max="45" width="8.109375" style="11"/>
    <col min="46" max="52" width="8.109375" style="10"/>
    <col min="53" max="53" width="8.109375" style="240"/>
    <col min="54" max="16384" width="8.109375" style="10"/>
  </cols>
  <sheetData>
    <row r="1" spans="2:53" ht="19.5" customHeight="1" x14ac:dyDescent="0.3">
      <c r="B1" s="277" t="s">
        <v>14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</row>
    <row r="2" spans="2:53" ht="23.25" customHeight="1" x14ac:dyDescent="0.3">
      <c r="B2" s="278" t="s">
        <v>210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</row>
    <row r="3" spans="2:53" ht="20.25" customHeight="1" x14ac:dyDescent="0.3">
      <c r="B3" s="20"/>
      <c r="C3" s="11"/>
      <c r="D3" s="19"/>
      <c r="E3" s="20"/>
      <c r="F3" s="20"/>
      <c r="G3" s="20"/>
      <c r="H3" s="20"/>
      <c r="I3" s="20"/>
      <c r="J3" s="20"/>
      <c r="K3" s="20"/>
      <c r="L3" s="19"/>
      <c r="M3" s="19"/>
      <c r="N3" s="21"/>
      <c r="O3" s="20"/>
      <c r="P3" s="11"/>
      <c r="Q3" s="22"/>
      <c r="R3" s="22"/>
      <c r="S3" s="22"/>
      <c r="T3" s="22"/>
      <c r="U3" s="22"/>
      <c r="V3" s="22"/>
      <c r="W3" s="22"/>
      <c r="X3" s="22"/>
      <c r="Y3" s="204"/>
      <c r="Z3" s="204"/>
      <c r="AA3" s="76" t="s">
        <v>15</v>
      </c>
    </row>
    <row r="4" spans="2:53" ht="48" customHeight="1" x14ac:dyDescent="0.3">
      <c r="B4" s="279" t="s">
        <v>0</v>
      </c>
      <c r="C4" s="279" t="s">
        <v>16</v>
      </c>
      <c r="D4" s="279" t="s">
        <v>17</v>
      </c>
      <c r="E4" s="279" t="s">
        <v>18</v>
      </c>
      <c r="F4" s="279" t="s">
        <v>19</v>
      </c>
      <c r="G4" s="279" t="s">
        <v>20</v>
      </c>
      <c r="H4" s="279" t="s">
        <v>21</v>
      </c>
      <c r="I4" s="279" t="s">
        <v>1</v>
      </c>
      <c r="J4" s="279" t="s">
        <v>22</v>
      </c>
      <c r="K4" s="279" t="s">
        <v>194</v>
      </c>
      <c r="L4" s="279" t="s">
        <v>24</v>
      </c>
      <c r="M4" s="279" t="s">
        <v>25</v>
      </c>
      <c r="N4" s="291" t="s">
        <v>26</v>
      </c>
      <c r="O4" s="292"/>
      <c r="P4" s="293"/>
      <c r="Q4" s="281" t="s">
        <v>27</v>
      </c>
      <c r="R4" s="281"/>
      <c r="S4" s="282" t="s">
        <v>74</v>
      </c>
      <c r="T4" s="283"/>
      <c r="U4" s="284"/>
      <c r="V4" s="282" t="s">
        <v>211</v>
      </c>
      <c r="W4" s="283"/>
      <c r="X4" s="284"/>
      <c r="Y4" s="287" t="s">
        <v>177</v>
      </c>
      <c r="Z4" s="287" t="s">
        <v>250</v>
      </c>
      <c r="AA4" s="285" t="s">
        <v>28</v>
      </c>
    </row>
    <row r="5" spans="2:53" ht="30" customHeight="1" x14ac:dyDescent="0.3"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9" t="s">
        <v>29</v>
      </c>
      <c r="O5" s="289" t="s">
        <v>30</v>
      </c>
      <c r="P5" s="289" t="s">
        <v>31</v>
      </c>
      <c r="Q5" s="281" t="s">
        <v>32</v>
      </c>
      <c r="R5" s="281" t="s">
        <v>34</v>
      </c>
      <c r="S5" s="281" t="s">
        <v>35</v>
      </c>
      <c r="T5" s="281" t="s">
        <v>33</v>
      </c>
      <c r="U5" s="281"/>
      <c r="V5" s="294" t="s">
        <v>193</v>
      </c>
      <c r="W5" s="281" t="s">
        <v>33</v>
      </c>
      <c r="X5" s="281"/>
      <c r="Y5" s="288"/>
      <c r="Z5" s="288"/>
      <c r="AA5" s="286"/>
    </row>
    <row r="6" spans="2:53" ht="48" x14ac:dyDescent="0.3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90"/>
      <c r="O6" s="290"/>
      <c r="P6" s="290"/>
      <c r="Q6" s="281"/>
      <c r="R6" s="281"/>
      <c r="S6" s="281"/>
      <c r="T6" s="246" t="s">
        <v>2</v>
      </c>
      <c r="U6" s="248" t="s">
        <v>36</v>
      </c>
      <c r="V6" s="294"/>
      <c r="W6" s="247" t="s">
        <v>2</v>
      </c>
      <c r="X6" s="248" t="s">
        <v>36</v>
      </c>
      <c r="Y6" s="288"/>
      <c r="Z6" s="288"/>
      <c r="AA6" s="286"/>
    </row>
    <row r="7" spans="2:53" s="26" customFormat="1" x14ac:dyDescent="0.3">
      <c r="B7" s="23">
        <v>1</v>
      </c>
      <c r="C7" s="23">
        <v>2</v>
      </c>
      <c r="D7" s="23">
        <v>3</v>
      </c>
      <c r="E7" s="23">
        <v>4</v>
      </c>
      <c r="F7" s="23"/>
      <c r="G7" s="23"/>
      <c r="H7" s="23"/>
      <c r="I7" s="23"/>
      <c r="J7" s="23"/>
      <c r="K7" s="23">
        <v>4</v>
      </c>
      <c r="L7" s="23">
        <v>5</v>
      </c>
      <c r="M7" s="23">
        <v>6</v>
      </c>
      <c r="N7" s="24">
        <v>7</v>
      </c>
      <c r="O7" s="24">
        <v>8</v>
      </c>
      <c r="P7" s="24">
        <v>9</v>
      </c>
      <c r="Q7" s="25">
        <v>10</v>
      </c>
      <c r="R7" s="25">
        <v>11</v>
      </c>
      <c r="S7" s="25"/>
      <c r="T7" s="25"/>
      <c r="U7" s="25"/>
      <c r="V7" s="223">
        <v>15</v>
      </c>
      <c r="W7" s="223">
        <v>16</v>
      </c>
      <c r="X7" s="25" t="s">
        <v>175</v>
      </c>
      <c r="Y7" s="205"/>
      <c r="Z7" s="205"/>
      <c r="AA7" s="25" t="s">
        <v>176</v>
      </c>
      <c r="AB7" s="262"/>
      <c r="AS7" s="27"/>
      <c r="BA7" s="241"/>
    </row>
    <row r="8" spans="2:53" s="12" customFormat="1" ht="21.75" customHeight="1" x14ac:dyDescent="0.3">
      <c r="B8" s="28"/>
      <c r="C8" s="29" t="s">
        <v>96</v>
      </c>
      <c r="D8" s="29"/>
      <c r="E8" s="30"/>
      <c r="F8" s="31"/>
      <c r="G8" s="30"/>
      <c r="H8" s="30"/>
      <c r="I8" s="30"/>
      <c r="J8" s="30"/>
      <c r="K8" s="30"/>
      <c r="L8" s="29"/>
      <c r="M8" s="29"/>
      <c r="N8" s="29"/>
      <c r="O8" s="68">
        <f t="shared" ref="O8:W8" si="0">+O9+O59+O94</f>
        <v>1180960</v>
      </c>
      <c r="P8" s="68">
        <f t="shared" si="0"/>
        <v>592360</v>
      </c>
      <c r="Q8" s="68">
        <f t="shared" si="0"/>
        <v>22919</v>
      </c>
      <c r="R8" s="68">
        <f t="shared" si="0"/>
        <v>22919</v>
      </c>
      <c r="S8" s="68" t="e">
        <f t="shared" si="0"/>
        <v>#REF!</v>
      </c>
      <c r="T8" s="68" t="e">
        <f t="shared" si="0"/>
        <v>#REF!</v>
      </c>
      <c r="U8" s="68" t="e">
        <f t="shared" si="0"/>
        <v>#REF!</v>
      </c>
      <c r="V8" s="224">
        <f t="shared" si="0"/>
        <v>364575.902</v>
      </c>
      <c r="W8" s="224">
        <f t="shared" si="0"/>
        <v>364575.902</v>
      </c>
      <c r="X8" s="32">
        <f>+X9+X59</f>
        <v>0</v>
      </c>
      <c r="Y8" s="206">
        <f>+Y9+Y59+Y94</f>
        <v>45709.141000000003</v>
      </c>
      <c r="Z8" s="206">
        <f>+Z9+Z59+Z94</f>
        <v>95718.6</v>
      </c>
      <c r="AA8" s="189"/>
      <c r="AB8" s="263"/>
      <c r="AS8" s="11"/>
      <c r="BA8" s="240"/>
    </row>
    <row r="9" spans="2:53" s="12" customFormat="1" ht="27" customHeight="1" x14ac:dyDescent="0.3">
      <c r="B9" s="34" t="s">
        <v>11</v>
      </c>
      <c r="C9" s="35" t="s">
        <v>134</v>
      </c>
      <c r="D9" s="35"/>
      <c r="E9" s="36"/>
      <c r="F9" s="37"/>
      <c r="G9" s="36"/>
      <c r="H9" s="36"/>
      <c r="I9" s="36"/>
      <c r="J9" s="36"/>
      <c r="K9" s="36"/>
      <c r="L9" s="35"/>
      <c r="M9" s="35"/>
      <c r="N9" s="35"/>
      <c r="O9" s="69">
        <f>O10+O29</f>
        <v>461400</v>
      </c>
      <c r="P9" s="69">
        <f>P10+P29</f>
        <v>219600</v>
      </c>
      <c r="Q9" s="69">
        <f>Q10+Q29+Q57</f>
        <v>22919</v>
      </c>
      <c r="R9" s="69">
        <f>R10+R29+R57</f>
        <v>22919</v>
      </c>
      <c r="S9" s="69">
        <f>S10+S29+S57</f>
        <v>134672</v>
      </c>
      <c r="T9" s="69">
        <f>T10+T29+T57</f>
        <v>134672</v>
      </c>
      <c r="U9" s="69">
        <f>U10+U29</f>
        <v>0</v>
      </c>
      <c r="V9" s="225">
        <f>V10+V29+V57</f>
        <v>60815</v>
      </c>
      <c r="W9" s="225">
        <f>W10+W29+W57</f>
        <v>60815</v>
      </c>
      <c r="X9" s="69">
        <f>X10+X29</f>
        <v>0</v>
      </c>
      <c r="Y9" s="255">
        <f>Y10+Y29+Y57</f>
        <v>10162</v>
      </c>
      <c r="Z9" s="255">
        <f>Z10+Z29+Z57</f>
        <v>12801</v>
      </c>
      <c r="AA9" s="190"/>
      <c r="AB9" s="263"/>
      <c r="AS9" s="11"/>
      <c r="BA9" s="240"/>
    </row>
    <row r="10" spans="2:53" s="41" customFormat="1" ht="30" customHeight="1" outlineLevel="1" x14ac:dyDescent="0.3">
      <c r="B10" s="34" t="s">
        <v>37</v>
      </c>
      <c r="C10" s="108" t="s">
        <v>135</v>
      </c>
      <c r="D10" s="256"/>
      <c r="E10" s="35"/>
      <c r="F10" s="40"/>
      <c r="G10" s="35"/>
      <c r="H10" s="35"/>
      <c r="I10" s="35"/>
      <c r="J10" s="35"/>
      <c r="K10" s="35"/>
      <c r="L10" s="35"/>
      <c r="M10" s="35"/>
      <c r="N10" s="44"/>
      <c r="O10" s="69">
        <f t="shared" ref="O10:Z10" si="1">O11</f>
        <v>420400</v>
      </c>
      <c r="P10" s="38">
        <f t="shared" si="1"/>
        <v>178600</v>
      </c>
      <c r="Q10" s="38">
        <f t="shared" si="1"/>
        <v>22919</v>
      </c>
      <c r="R10" s="38">
        <f t="shared" si="1"/>
        <v>22919</v>
      </c>
      <c r="S10" s="38">
        <f t="shared" si="1"/>
        <v>109862</v>
      </c>
      <c r="T10" s="38">
        <f t="shared" si="1"/>
        <v>109862</v>
      </c>
      <c r="U10" s="38">
        <f t="shared" si="1"/>
        <v>0</v>
      </c>
      <c r="V10" s="233">
        <f t="shared" si="1"/>
        <v>39160</v>
      </c>
      <c r="W10" s="233">
        <f>W11</f>
        <v>39160</v>
      </c>
      <c r="X10" s="38">
        <f t="shared" si="1"/>
        <v>0</v>
      </c>
      <c r="Y10" s="162">
        <f t="shared" si="1"/>
        <v>7832</v>
      </c>
      <c r="Z10" s="162">
        <f t="shared" si="1"/>
        <v>7971</v>
      </c>
      <c r="AA10" s="190"/>
      <c r="AB10" s="264"/>
      <c r="AS10" s="42"/>
      <c r="BA10" s="242"/>
    </row>
    <row r="11" spans="2:53" s="41" customFormat="1" ht="24.75" customHeight="1" outlineLevel="1" x14ac:dyDescent="0.3">
      <c r="B11" s="34" t="s">
        <v>38</v>
      </c>
      <c r="C11" s="43" t="s">
        <v>4</v>
      </c>
      <c r="D11" s="35"/>
      <c r="E11" s="35"/>
      <c r="F11" s="40"/>
      <c r="G11" s="35"/>
      <c r="H11" s="35"/>
      <c r="I11" s="35"/>
      <c r="J11" s="35"/>
      <c r="K11" s="35"/>
      <c r="L11" s="35"/>
      <c r="M11" s="35"/>
      <c r="N11" s="44"/>
      <c r="O11" s="69">
        <f>+O12+O18</f>
        <v>420400</v>
      </c>
      <c r="P11" s="38">
        <f>+P12+P18</f>
        <v>178600</v>
      </c>
      <c r="Q11" s="38">
        <f>+Q12+Q18</f>
        <v>22919</v>
      </c>
      <c r="R11" s="38">
        <f>+R12+R18</f>
        <v>22919</v>
      </c>
      <c r="S11" s="38">
        <f t="shared" ref="S11:Y11" si="2">+S12+S18+S28</f>
        <v>109862</v>
      </c>
      <c r="T11" s="38">
        <f t="shared" si="2"/>
        <v>109862</v>
      </c>
      <c r="U11" s="38">
        <f t="shared" si="2"/>
        <v>0</v>
      </c>
      <c r="V11" s="225">
        <f t="shared" si="2"/>
        <v>39160</v>
      </c>
      <c r="W11" s="225">
        <f t="shared" si="2"/>
        <v>39160</v>
      </c>
      <c r="X11" s="38">
        <f t="shared" si="2"/>
        <v>0</v>
      </c>
      <c r="Y11" s="207">
        <f t="shared" si="2"/>
        <v>7832</v>
      </c>
      <c r="Z11" s="207">
        <f t="shared" ref="Z11" si="3">+Z12+Z18+Z28</f>
        <v>7971</v>
      </c>
      <c r="AA11" s="190"/>
      <c r="AB11" s="264"/>
      <c r="AS11" s="42"/>
      <c r="BA11" s="242"/>
    </row>
    <row r="12" spans="2:53" s="41" customFormat="1" ht="30" customHeight="1" outlineLevel="1" x14ac:dyDescent="0.3">
      <c r="B12" s="34" t="s">
        <v>39</v>
      </c>
      <c r="C12" s="43" t="s">
        <v>76</v>
      </c>
      <c r="D12" s="35"/>
      <c r="E12" s="35"/>
      <c r="F12" s="40"/>
      <c r="G12" s="35"/>
      <c r="H12" s="35"/>
      <c r="I12" s="35"/>
      <c r="J12" s="35"/>
      <c r="K12" s="35"/>
      <c r="L12" s="35"/>
      <c r="M12" s="35"/>
      <c r="N12" s="35"/>
      <c r="O12" s="70">
        <f t="shared" ref="O12:T12" si="4">SUM(O13:O17)</f>
        <v>36400</v>
      </c>
      <c r="P12" s="70">
        <f t="shared" si="4"/>
        <v>36400</v>
      </c>
      <c r="Q12" s="70">
        <f t="shared" si="4"/>
        <v>22919</v>
      </c>
      <c r="R12" s="70">
        <f t="shared" si="4"/>
        <v>22919</v>
      </c>
      <c r="S12" s="70">
        <f t="shared" si="4"/>
        <v>7832</v>
      </c>
      <c r="T12" s="70">
        <f t="shared" si="4"/>
        <v>7832</v>
      </c>
      <c r="U12" s="38"/>
      <c r="V12" s="225">
        <f>SUM(V13:V17)</f>
        <v>7278.6</v>
      </c>
      <c r="W12" s="225">
        <f>SUM(W13:W17)</f>
        <v>7278.6</v>
      </c>
      <c r="X12" s="38"/>
      <c r="Y12" s="207">
        <f>SUM(Y13:Y17)</f>
        <v>7278.6</v>
      </c>
      <c r="Z12" s="207">
        <f>SUM(Z13:Z17)</f>
        <v>0</v>
      </c>
      <c r="AA12" s="190"/>
      <c r="AB12" s="264"/>
      <c r="AS12" s="42"/>
      <c r="BA12" s="242"/>
    </row>
    <row r="13" spans="2:53" s="41" customFormat="1" ht="72" customHeight="1" outlineLevel="1" x14ac:dyDescent="0.3">
      <c r="B13" s="3" t="s">
        <v>60</v>
      </c>
      <c r="C13" s="4" t="s">
        <v>48</v>
      </c>
      <c r="D13" s="5" t="s">
        <v>97</v>
      </c>
      <c r="E13" s="6"/>
      <c r="F13" s="6"/>
      <c r="G13" s="6"/>
      <c r="H13" s="6"/>
      <c r="I13" s="6"/>
      <c r="J13" s="6"/>
      <c r="K13" s="6" t="s">
        <v>46</v>
      </c>
      <c r="L13" s="222"/>
      <c r="M13" s="222" t="s">
        <v>47</v>
      </c>
      <c r="N13" s="7" t="s">
        <v>49</v>
      </c>
      <c r="O13" s="8">
        <f t="shared" ref="O13" si="5">+P13</f>
        <v>6700</v>
      </c>
      <c r="P13" s="8">
        <v>6700</v>
      </c>
      <c r="Q13" s="9">
        <f>R13</f>
        <v>4500</v>
      </c>
      <c r="R13" s="9">
        <v>4500</v>
      </c>
      <c r="S13" s="9">
        <f>T13</f>
        <v>1950</v>
      </c>
      <c r="T13" s="9">
        <v>1950</v>
      </c>
      <c r="U13" s="9"/>
      <c r="V13" s="226">
        <f>W13</f>
        <v>1898</v>
      </c>
      <c r="W13" s="227">
        <v>1898</v>
      </c>
      <c r="X13" s="9"/>
      <c r="Y13" s="208">
        <v>1898</v>
      </c>
      <c r="Z13" s="208"/>
      <c r="AA13" s="191" t="s">
        <v>106</v>
      </c>
      <c r="AB13" s="264">
        <f>4500+1898</f>
        <v>6398</v>
      </c>
      <c r="AS13" s="42"/>
      <c r="BA13" s="242"/>
    </row>
    <row r="14" spans="2:53" s="41" customFormat="1" ht="57.75" customHeight="1" outlineLevel="1" x14ac:dyDescent="0.3">
      <c r="B14" s="3" t="s">
        <v>9</v>
      </c>
      <c r="C14" s="4" t="s">
        <v>75</v>
      </c>
      <c r="D14" s="5" t="s">
        <v>97</v>
      </c>
      <c r="E14" s="6" t="s">
        <v>50</v>
      </c>
      <c r="F14" s="6"/>
      <c r="G14" s="6"/>
      <c r="H14" s="6"/>
      <c r="I14" s="6"/>
      <c r="J14" s="6"/>
      <c r="K14" s="6" t="s">
        <v>46</v>
      </c>
      <c r="L14" s="222"/>
      <c r="M14" s="222" t="s">
        <v>47</v>
      </c>
      <c r="N14" s="13" t="s">
        <v>51</v>
      </c>
      <c r="O14" s="8">
        <v>9000</v>
      </c>
      <c r="P14" s="8">
        <v>9000</v>
      </c>
      <c r="Q14" s="9">
        <f>2956+3948</f>
        <v>6904</v>
      </c>
      <c r="R14" s="9">
        <f>2956+3948</f>
        <v>6904</v>
      </c>
      <c r="S14" s="9">
        <f>T14</f>
        <v>1530</v>
      </c>
      <c r="T14" s="9">
        <v>1530</v>
      </c>
      <c r="U14" s="9"/>
      <c r="V14" s="226">
        <f>W14</f>
        <v>1520.6</v>
      </c>
      <c r="W14" s="227">
        <v>1520.6</v>
      </c>
      <c r="X14" s="9"/>
      <c r="Y14" s="208">
        <f>+W14</f>
        <v>1520.6</v>
      </c>
      <c r="Z14" s="208"/>
      <c r="AA14" s="191" t="s">
        <v>98</v>
      </c>
      <c r="AB14" s="264">
        <f>3948+2956+1520.6</f>
        <v>8424.6</v>
      </c>
      <c r="AC14" s="41" t="s">
        <v>248</v>
      </c>
      <c r="AS14" s="42"/>
      <c r="BA14" s="242"/>
    </row>
    <row r="15" spans="2:53" s="41" customFormat="1" ht="39.75" customHeight="1" outlineLevel="1" x14ac:dyDescent="0.3">
      <c r="B15" s="3" t="s">
        <v>10</v>
      </c>
      <c r="C15" s="4" t="s">
        <v>65</v>
      </c>
      <c r="D15" s="5" t="s">
        <v>97</v>
      </c>
      <c r="E15" s="6"/>
      <c r="F15" s="6"/>
      <c r="G15" s="6"/>
      <c r="H15" s="6"/>
      <c r="I15" s="6"/>
      <c r="J15" s="6"/>
      <c r="K15" s="6" t="s">
        <v>46</v>
      </c>
      <c r="L15" s="222"/>
      <c r="M15" s="222" t="s">
        <v>57</v>
      </c>
      <c r="N15" s="13" t="s">
        <v>66</v>
      </c>
      <c r="O15" s="8">
        <v>5600</v>
      </c>
      <c r="P15" s="8">
        <v>5600</v>
      </c>
      <c r="Q15" s="9">
        <f>+R15</f>
        <v>4100</v>
      </c>
      <c r="R15" s="9">
        <v>4100</v>
      </c>
      <c r="S15" s="9">
        <f>T15</f>
        <v>1250</v>
      </c>
      <c r="T15" s="9">
        <v>1250</v>
      </c>
      <c r="U15" s="9"/>
      <c r="V15" s="226">
        <f>W15</f>
        <v>1076</v>
      </c>
      <c r="W15" s="227">
        <v>1076</v>
      </c>
      <c r="X15" s="9"/>
      <c r="Y15" s="208">
        <v>1076</v>
      </c>
      <c r="Z15" s="208"/>
      <c r="AA15" s="191" t="s">
        <v>78</v>
      </c>
      <c r="AB15" s="264">
        <f>4100+1076</f>
        <v>5176</v>
      </c>
      <c r="AC15" s="41" t="s">
        <v>248</v>
      </c>
      <c r="AS15" s="42"/>
      <c r="BA15" s="242"/>
    </row>
    <row r="16" spans="2:53" s="41" customFormat="1" ht="39.75" customHeight="1" outlineLevel="1" x14ac:dyDescent="0.3">
      <c r="B16" s="3" t="s">
        <v>79</v>
      </c>
      <c r="C16" s="4" t="s">
        <v>67</v>
      </c>
      <c r="D16" s="5" t="s">
        <v>97</v>
      </c>
      <c r="E16" s="6"/>
      <c r="F16" s="6"/>
      <c r="G16" s="6"/>
      <c r="H16" s="6"/>
      <c r="I16" s="6"/>
      <c r="J16" s="6"/>
      <c r="K16" s="6" t="s">
        <v>46</v>
      </c>
      <c r="L16" s="222"/>
      <c r="M16" s="222" t="s">
        <v>57</v>
      </c>
      <c r="N16" s="13" t="s">
        <v>68</v>
      </c>
      <c r="O16" s="8">
        <f t="shared" ref="O16" si="6">+P16</f>
        <v>6500</v>
      </c>
      <c r="P16" s="8">
        <v>6500</v>
      </c>
      <c r="Q16" s="9">
        <v>4100</v>
      </c>
      <c r="R16" s="9">
        <v>4100</v>
      </c>
      <c r="S16" s="9">
        <f>T16</f>
        <v>2150</v>
      </c>
      <c r="T16" s="9">
        <v>2150</v>
      </c>
      <c r="U16" s="9"/>
      <c r="V16" s="226">
        <f>W16</f>
        <v>1994</v>
      </c>
      <c r="W16" s="227">
        <v>1994</v>
      </c>
      <c r="X16" s="9"/>
      <c r="Y16" s="208">
        <v>1994</v>
      </c>
      <c r="Z16" s="208"/>
      <c r="AA16" s="191" t="s">
        <v>78</v>
      </c>
      <c r="AB16" s="264">
        <f>4100+1994</f>
        <v>6094</v>
      </c>
      <c r="AC16" s="41" t="s">
        <v>248</v>
      </c>
      <c r="AS16" s="42"/>
      <c r="BA16" s="242"/>
    </row>
    <row r="17" spans="2:53" s="41" customFormat="1" ht="49.5" customHeight="1" outlineLevel="1" x14ac:dyDescent="0.3">
      <c r="B17" s="3" t="s">
        <v>71</v>
      </c>
      <c r="C17" s="4" t="s">
        <v>69</v>
      </c>
      <c r="D17" s="5" t="s">
        <v>97</v>
      </c>
      <c r="E17" s="6"/>
      <c r="F17" s="6"/>
      <c r="G17" s="6"/>
      <c r="H17" s="6"/>
      <c r="I17" s="6"/>
      <c r="J17" s="6"/>
      <c r="K17" s="6" t="s">
        <v>46</v>
      </c>
      <c r="L17" s="222"/>
      <c r="M17" s="222" t="s">
        <v>57</v>
      </c>
      <c r="N17" s="13" t="s">
        <v>70</v>
      </c>
      <c r="O17" s="8">
        <f>+P17</f>
        <v>8600</v>
      </c>
      <c r="P17" s="8">
        <v>8600</v>
      </c>
      <c r="Q17" s="9">
        <v>3315</v>
      </c>
      <c r="R17" s="9">
        <v>3315</v>
      </c>
      <c r="S17" s="9">
        <f>+T17</f>
        <v>952</v>
      </c>
      <c r="T17" s="9">
        <v>952</v>
      </c>
      <c r="U17" s="9"/>
      <c r="V17" s="226">
        <f>+W17</f>
        <v>790</v>
      </c>
      <c r="W17" s="227">
        <v>790</v>
      </c>
      <c r="X17" s="9"/>
      <c r="Y17" s="208">
        <v>790</v>
      </c>
      <c r="Z17" s="208"/>
      <c r="AA17" s="191" t="s">
        <v>255</v>
      </c>
      <c r="AB17" s="264">
        <f>3315+4000+790</f>
        <v>8105</v>
      </c>
      <c r="AC17" s="41" t="s">
        <v>248</v>
      </c>
      <c r="AS17" s="42"/>
      <c r="BA17" s="242"/>
    </row>
    <row r="18" spans="2:53" s="41" customFormat="1" ht="21.75" customHeight="1" outlineLevel="1" x14ac:dyDescent="0.3">
      <c r="B18" s="34" t="s">
        <v>40</v>
      </c>
      <c r="C18" s="43" t="s">
        <v>89</v>
      </c>
      <c r="D18" s="35"/>
      <c r="E18" s="35"/>
      <c r="F18" s="40"/>
      <c r="G18" s="35"/>
      <c r="H18" s="35"/>
      <c r="I18" s="35"/>
      <c r="J18" s="35"/>
      <c r="K18" s="35"/>
      <c r="L18" s="35"/>
      <c r="M18" s="35"/>
      <c r="N18" s="35"/>
      <c r="O18" s="70">
        <f t="shared" ref="O18:Z18" si="7">+O19+O28</f>
        <v>384000</v>
      </c>
      <c r="P18" s="45">
        <f t="shared" si="7"/>
        <v>142200</v>
      </c>
      <c r="Q18" s="45">
        <f t="shared" si="7"/>
        <v>0</v>
      </c>
      <c r="R18" s="45">
        <f t="shared" si="7"/>
        <v>0</v>
      </c>
      <c r="S18" s="45">
        <f t="shared" si="7"/>
        <v>102030</v>
      </c>
      <c r="T18" s="45">
        <f t="shared" si="7"/>
        <v>102030</v>
      </c>
      <c r="U18" s="45">
        <f t="shared" si="7"/>
        <v>0</v>
      </c>
      <c r="V18" s="228">
        <f t="shared" si="7"/>
        <v>31881.4</v>
      </c>
      <c r="W18" s="228">
        <f t="shared" si="7"/>
        <v>31881.4</v>
      </c>
      <c r="X18" s="186">
        <f t="shared" si="7"/>
        <v>0</v>
      </c>
      <c r="Y18" s="209">
        <f t="shared" si="7"/>
        <v>553.4</v>
      </c>
      <c r="Z18" s="209">
        <f t="shared" si="7"/>
        <v>7971</v>
      </c>
      <c r="AA18" s="190"/>
      <c r="AB18" s="264"/>
      <c r="AS18" s="42"/>
      <c r="BA18" s="242"/>
    </row>
    <row r="19" spans="2:53" s="26" customFormat="1" ht="31.5" customHeight="1" outlineLevel="1" x14ac:dyDescent="0.3">
      <c r="B19" s="46" t="s">
        <v>41</v>
      </c>
      <c r="C19" s="47" t="s">
        <v>99</v>
      </c>
      <c r="D19" s="48"/>
      <c r="E19" s="48"/>
      <c r="F19" s="49"/>
      <c r="G19" s="48"/>
      <c r="H19" s="48"/>
      <c r="I19" s="48"/>
      <c r="J19" s="48"/>
      <c r="K19" s="48"/>
      <c r="L19" s="48"/>
      <c r="M19" s="48"/>
      <c r="N19" s="48"/>
      <c r="O19" s="187">
        <f t="shared" ref="O19:Z19" si="8">SUM(O20:O27)</f>
        <v>384000</v>
      </c>
      <c r="P19" s="187">
        <f t="shared" si="8"/>
        <v>142200</v>
      </c>
      <c r="Q19" s="187">
        <f t="shared" si="8"/>
        <v>0</v>
      </c>
      <c r="R19" s="187">
        <f t="shared" si="8"/>
        <v>0</v>
      </c>
      <c r="S19" s="187">
        <f t="shared" si="8"/>
        <v>102030</v>
      </c>
      <c r="T19" s="187">
        <f t="shared" si="8"/>
        <v>102030</v>
      </c>
      <c r="U19" s="187">
        <f t="shared" si="8"/>
        <v>0</v>
      </c>
      <c r="V19" s="229">
        <f t="shared" si="8"/>
        <v>31881.4</v>
      </c>
      <c r="W19" s="229">
        <f t="shared" si="8"/>
        <v>31881.4</v>
      </c>
      <c r="X19" s="187">
        <f t="shared" si="8"/>
        <v>0</v>
      </c>
      <c r="Y19" s="187">
        <f t="shared" si="8"/>
        <v>553.4</v>
      </c>
      <c r="Z19" s="187">
        <f t="shared" si="8"/>
        <v>7971</v>
      </c>
      <c r="AA19" s="192"/>
      <c r="AB19" s="262"/>
      <c r="AS19" s="27"/>
      <c r="BA19" s="241"/>
    </row>
    <row r="20" spans="2:53" s="12" customFormat="1" ht="37.5" customHeight="1" x14ac:dyDescent="0.3">
      <c r="B20" s="3" t="s">
        <v>60</v>
      </c>
      <c r="C20" s="4" t="s">
        <v>86</v>
      </c>
      <c r="D20" s="5" t="s">
        <v>97</v>
      </c>
      <c r="E20" s="6"/>
      <c r="F20" s="6"/>
      <c r="G20" s="6"/>
      <c r="H20" s="6"/>
      <c r="I20" s="6"/>
      <c r="J20" s="6"/>
      <c r="K20" s="6" t="s">
        <v>46</v>
      </c>
      <c r="L20" s="222"/>
      <c r="M20" s="222" t="s">
        <v>80</v>
      </c>
      <c r="N20" s="13" t="s">
        <v>136</v>
      </c>
      <c r="O20" s="8">
        <f>+P20</f>
        <v>12700</v>
      </c>
      <c r="P20" s="8">
        <v>12700</v>
      </c>
      <c r="Q20" s="9"/>
      <c r="R20" s="9"/>
      <c r="S20" s="9">
        <f>+T20</f>
        <v>8000</v>
      </c>
      <c r="T20" s="9">
        <v>8000</v>
      </c>
      <c r="U20" s="9"/>
      <c r="V20" s="230">
        <f>+W20</f>
        <v>1690</v>
      </c>
      <c r="W20" s="231">
        <v>1690</v>
      </c>
      <c r="X20" s="9"/>
      <c r="Y20" s="208"/>
      <c r="Z20" s="208">
        <v>1690</v>
      </c>
      <c r="AA20" s="191" t="s">
        <v>224</v>
      </c>
      <c r="AB20" s="263">
        <f>1690+11000</f>
        <v>12690</v>
      </c>
      <c r="AC20" s="12" t="s">
        <v>249</v>
      </c>
      <c r="AS20" s="11"/>
      <c r="BA20" s="240"/>
    </row>
    <row r="21" spans="2:53" s="12" customFormat="1" ht="73.5" customHeight="1" x14ac:dyDescent="0.3">
      <c r="B21" s="3" t="s">
        <v>9</v>
      </c>
      <c r="C21" s="14" t="s">
        <v>88</v>
      </c>
      <c r="D21" s="5" t="s">
        <v>97</v>
      </c>
      <c r="E21" s="124"/>
      <c r="F21" s="124"/>
      <c r="G21" s="124"/>
      <c r="H21" s="124"/>
      <c r="I21" s="222"/>
      <c r="J21" s="124"/>
      <c r="K21" s="6" t="s">
        <v>103</v>
      </c>
      <c r="L21" s="222"/>
      <c r="M21" s="222" t="s">
        <v>80</v>
      </c>
      <c r="N21" s="13" t="s">
        <v>202</v>
      </c>
      <c r="O21" s="125">
        <f>+P21</f>
        <v>7800</v>
      </c>
      <c r="P21" s="16">
        <v>7800</v>
      </c>
      <c r="Q21" s="126"/>
      <c r="R21" s="126"/>
      <c r="S21" s="125">
        <f t="shared" ref="S21" si="9">+T21</f>
        <v>3000</v>
      </c>
      <c r="T21" s="17">
        <v>3000</v>
      </c>
      <c r="U21" s="126"/>
      <c r="V21" s="230">
        <f t="shared" ref="V21" si="10">+W21</f>
        <v>1040</v>
      </c>
      <c r="W21" s="230">
        <v>1040</v>
      </c>
      <c r="X21" s="38"/>
      <c r="Y21" s="208"/>
      <c r="Z21" s="208">
        <v>1040</v>
      </c>
      <c r="AA21" s="191" t="s">
        <v>225</v>
      </c>
      <c r="AB21" s="263">
        <f>1040+6745</f>
        <v>7785</v>
      </c>
      <c r="AC21" s="12" t="s">
        <v>249</v>
      </c>
      <c r="AS21" s="11"/>
      <c r="BA21" s="240"/>
    </row>
    <row r="22" spans="2:53" s="12" customFormat="1" ht="40.5" customHeight="1" x14ac:dyDescent="0.3">
      <c r="B22" s="3" t="s">
        <v>10</v>
      </c>
      <c r="C22" s="95" t="s">
        <v>104</v>
      </c>
      <c r="D22" s="5" t="s">
        <v>97</v>
      </c>
      <c r="E22" s="124"/>
      <c r="F22" s="124"/>
      <c r="G22" s="124"/>
      <c r="H22" s="124"/>
      <c r="I22" s="222"/>
      <c r="J22" s="124"/>
      <c r="K22" s="222" t="s">
        <v>103</v>
      </c>
      <c r="L22" s="222"/>
      <c r="M22" s="222" t="s">
        <v>80</v>
      </c>
      <c r="N22" s="13" t="s">
        <v>139</v>
      </c>
      <c r="O22" s="125">
        <v>9800</v>
      </c>
      <c r="P22" s="16">
        <v>9800</v>
      </c>
      <c r="Q22" s="126"/>
      <c r="R22" s="126"/>
      <c r="S22" s="125">
        <f>T22</f>
        <v>3800</v>
      </c>
      <c r="T22" s="125">
        <v>3800</v>
      </c>
      <c r="U22" s="126"/>
      <c r="V22" s="230">
        <f>W22</f>
        <v>2700</v>
      </c>
      <c r="W22" s="230">
        <f>2700</f>
        <v>2700</v>
      </c>
      <c r="X22" s="38"/>
      <c r="Y22" s="207"/>
      <c r="Z22" s="208">
        <f>7832-6132</f>
        <v>1700</v>
      </c>
      <c r="AA22" s="191" t="s">
        <v>222</v>
      </c>
      <c r="AB22" s="263">
        <f>4953+1800+2700</f>
        <v>9453</v>
      </c>
      <c r="AC22" s="12" t="s">
        <v>249</v>
      </c>
      <c r="AS22" s="11"/>
      <c r="BA22" s="240"/>
    </row>
    <row r="23" spans="2:53" s="12" customFormat="1" ht="46.5" customHeight="1" x14ac:dyDescent="0.3">
      <c r="B23" s="3" t="s">
        <v>79</v>
      </c>
      <c r="C23" s="95" t="s">
        <v>105</v>
      </c>
      <c r="D23" s="5" t="s">
        <v>97</v>
      </c>
      <c r="E23" s="124"/>
      <c r="F23" s="124"/>
      <c r="G23" s="124"/>
      <c r="H23" s="124"/>
      <c r="I23" s="222"/>
      <c r="J23" s="124"/>
      <c r="K23" s="222" t="s">
        <v>103</v>
      </c>
      <c r="L23" s="222"/>
      <c r="M23" s="222" t="s">
        <v>80</v>
      </c>
      <c r="N23" s="13" t="s">
        <v>140</v>
      </c>
      <c r="O23" s="125">
        <v>3500</v>
      </c>
      <c r="P23" s="16">
        <v>3500</v>
      </c>
      <c r="Q23" s="126"/>
      <c r="R23" s="126"/>
      <c r="S23" s="125">
        <f>T23</f>
        <v>1500</v>
      </c>
      <c r="T23" s="125">
        <v>1500</v>
      </c>
      <c r="U23" s="126"/>
      <c r="V23" s="230">
        <f>W23</f>
        <v>955.4</v>
      </c>
      <c r="W23" s="230">
        <f>553.4+402</f>
        <v>955.4</v>
      </c>
      <c r="X23" s="38"/>
      <c r="Y23" s="208">
        <v>553.4</v>
      </c>
      <c r="Z23" s="208">
        <f>+W23-Y23</f>
        <v>402</v>
      </c>
      <c r="AA23" s="191" t="s">
        <v>257</v>
      </c>
      <c r="AB23" s="263">
        <f>2000+639+816.4</f>
        <v>3455.4</v>
      </c>
      <c r="AC23" s="12" t="s">
        <v>248</v>
      </c>
      <c r="AS23" s="11"/>
      <c r="BA23" s="240"/>
    </row>
    <row r="24" spans="2:53" s="12" customFormat="1" ht="33" customHeight="1" x14ac:dyDescent="0.3">
      <c r="B24" s="3" t="s">
        <v>71</v>
      </c>
      <c r="C24" s="14" t="s">
        <v>178</v>
      </c>
      <c r="D24" s="5" t="s">
        <v>97</v>
      </c>
      <c r="E24" s="6"/>
      <c r="F24" s="15"/>
      <c r="G24" s="6"/>
      <c r="H24" s="6"/>
      <c r="I24" s="6"/>
      <c r="J24" s="6"/>
      <c r="K24" s="6" t="s">
        <v>46</v>
      </c>
      <c r="L24" s="222"/>
      <c r="M24" s="222" t="s">
        <v>85</v>
      </c>
      <c r="N24" s="13"/>
      <c r="O24" s="8">
        <f>P24</f>
        <v>16000</v>
      </c>
      <c r="P24" s="16">
        <v>16000</v>
      </c>
      <c r="Q24" s="17"/>
      <c r="R24" s="17"/>
      <c r="S24" s="17">
        <f>+T24</f>
        <v>5330</v>
      </c>
      <c r="T24" s="17">
        <f>1400+3930</f>
        <v>5330</v>
      </c>
      <c r="U24" s="17"/>
      <c r="V24" s="230">
        <f>+W24</f>
        <v>6000</v>
      </c>
      <c r="W24" s="230">
        <v>6000</v>
      </c>
      <c r="X24" s="17"/>
      <c r="Y24" s="208"/>
      <c r="Z24" s="208"/>
      <c r="AA24" s="191" t="s">
        <v>128</v>
      </c>
      <c r="AB24" s="263">
        <f>10000+6000</f>
        <v>16000</v>
      </c>
      <c r="AC24" s="12" t="s">
        <v>249</v>
      </c>
      <c r="AS24" s="11"/>
      <c r="BA24" s="240"/>
    </row>
    <row r="25" spans="2:53" s="12" customFormat="1" ht="32.25" customHeight="1" x14ac:dyDescent="0.3">
      <c r="B25" s="3" t="s">
        <v>72</v>
      </c>
      <c r="C25" s="67" t="s">
        <v>102</v>
      </c>
      <c r="D25" s="5" t="s">
        <v>206</v>
      </c>
      <c r="E25" s="36"/>
      <c r="F25" s="37"/>
      <c r="G25" s="36"/>
      <c r="H25" s="36"/>
      <c r="I25" s="36"/>
      <c r="J25" s="36"/>
      <c r="K25" s="6" t="s">
        <v>103</v>
      </c>
      <c r="L25" s="35"/>
      <c r="M25" s="222" t="s">
        <v>85</v>
      </c>
      <c r="N25" s="59"/>
      <c r="O25" s="17">
        <v>6200</v>
      </c>
      <c r="P25" s="16">
        <v>6200</v>
      </c>
      <c r="Q25" s="38"/>
      <c r="R25" s="38"/>
      <c r="S25" s="17">
        <v>4200</v>
      </c>
      <c r="T25" s="17">
        <v>4200</v>
      </c>
      <c r="U25" s="38"/>
      <c r="V25" s="230">
        <f>W25</f>
        <v>3000</v>
      </c>
      <c r="W25" s="230">
        <f>3139-139</f>
        <v>3000</v>
      </c>
      <c r="X25" s="38"/>
      <c r="Y25" s="207"/>
      <c r="Z25" s="208">
        <v>3139</v>
      </c>
      <c r="AA25" s="191" t="s">
        <v>258</v>
      </c>
      <c r="AB25" s="263">
        <f>3139+3061</f>
        <v>6200</v>
      </c>
      <c r="AC25" s="12" t="s">
        <v>249</v>
      </c>
      <c r="AS25" s="11"/>
      <c r="BA25" s="240"/>
    </row>
    <row r="26" spans="2:53" s="12" customFormat="1" ht="54" customHeight="1" x14ac:dyDescent="0.3">
      <c r="B26" s="3" t="s">
        <v>62</v>
      </c>
      <c r="C26" s="14" t="s">
        <v>187</v>
      </c>
      <c r="D26" s="5" t="s">
        <v>97</v>
      </c>
      <c r="E26" s="6"/>
      <c r="F26" s="6"/>
      <c r="G26" s="6"/>
      <c r="H26" s="6"/>
      <c r="I26" s="6"/>
      <c r="J26" s="6"/>
      <c r="K26" s="6" t="s">
        <v>42</v>
      </c>
      <c r="L26" s="222"/>
      <c r="M26" s="222" t="s">
        <v>80</v>
      </c>
      <c r="N26" s="13" t="s">
        <v>190</v>
      </c>
      <c r="O26" s="8">
        <v>318000</v>
      </c>
      <c r="P26" s="16">
        <v>76200</v>
      </c>
      <c r="Q26" s="9"/>
      <c r="R26" s="9"/>
      <c r="S26" s="9">
        <v>76200</v>
      </c>
      <c r="T26" s="9">
        <v>76200</v>
      </c>
      <c r="U26" s="9"/>
      <c r="V26" s="230">
        <f>+W26</f>
        <v>12996</v>
      </c>
      <c r="W26" s="230">
        <f>9796+139+3061</f>
        <v>12996</v>
      </c>
      <c r="X26" s="9"/>
      <c r="Y26" s="208"/>
      <c r="Z26" s="208"/>
      <c r="AA26" s="191" t="s">
        <v>228</v>
      </c>
      <c r="AB26" s="263">
        <f>12996+63204</f>
        <v>76200</v>
      </c>
      <c r="AC26" s="12" t="s">
        <v>249</v>
      </c>
      <c r="AD26" s="12">
        <f>76200-12996</f>
        <v>63204</v>
      </c>
      <c r="AS26" s="11"/>
      <c r="BA26" s="240"/>
    </row>
    <row r="27" spans="2:53" s="12" customFormat="1" ht="81.75" customHeight="1" x14ac:dyDescent="0.3">
      <c r="B27" s="3" t="s">
        <v>63</v>
      </c>
      <c r="C27" s="58" t="s">
        <v>203</v>
      </c>
      <c r="D27" s="222" t="s">
        <v>97</v>
      </c>
      <c r="E27" s="222"/>
      <c r="F27" s="58"/>
      <c r="G27" s="222"/>
      <c r="H27" s="222"/>
      <c r="I27" s="222"/>
      <c r="J27" s="222"/>
      <c r="K27" s="222" t="s">
        <v>81</v>
      </c>
      <c r="L27" s="222"/>
      <c r="M27" s="222" t="s">
        <v>85</v>
      </c>
      <c r="N27" s="222"/>
      <c r="O27" s="74">
        <f>+P27</f>
        <v>10000</v>
      </c>
      <c r="P27" s="16">
        <v>10000</v>
      </c>
      <c r="Q27" s="17"/>
      <c r="R27" s="17"/>
      <c r="S27" s="74"/>
      <c r="T27" s="17"/>
      <c r="U27" s="17"/>
      <c r="V27" s="230">
        <f>+W27</f>
        <v>3500</v>
      </c>
      <c r="W27" s="230">
        <v>3500</v>
      </c>
      <c r="X27" s="38"/>
      <c r="Y27" s="207"/>
      <c r="Z27" s="207"/>
      <c r="AA27" s="191" t="s">
        <v>205</v>
      </c>
      <c r="AB27" s="263">
        <f>4000+1880+620+3500</f>
        <v>10000</v>
      </c>
      <c r="AC27" s="12" t="s">
        <v>249</v>
      </c>
      <c r="AS27" s="11"/>
      <c r="BA27" s="240"/>
    </row>
    <row r="28" spans="2:53" s="26" customFormat="1" ht="21.75" customHeight="1" outlineLevel="1" x14ac:dyDescent="0.3">
      <c r="B28" s="46" t="s">
        <v>54</v>
      </c>
      <c r="C28" s="47" t="s">
        <v>77</v>
      </c>
      <c r="D28" s="48"/>
      <c r="E28" s="48"/>
      <c r="F28" s="49"/>
      <c r="G28" s="48"/>
      <c r="H28" s="48"/>
      <c r="I28" s="48"/>
      <c r="J28" s="48"/>
      <c r="K28" s="48"/>
      <c r="L28" s="48"/>
      <c r="M28" s="48"/>
      <c r="N28" s="48"/>
      <c r="O28" s="71"/>
      <c r="P28" s="51"/>
      <c r="Q28" s="51">
        <v>0</v>
      </c>
      <c r="R28" s="51">
        <v>0</v>
      </c>
      <c r="S28" s="51"/>
      <c r="T28" s="51"/>
      <c r="U28" s="51"/>
      <c r="V28" s="174"/>
      <c r="W28" s="174">
        <v>0</v>
      </c>
      <c r="X28" s="51">
        <v>0</v>
      </c>
      <c r="Y28" s="210"/>
      <c r="Z28" s="210"/>
      <c r="AA28" s="192"/>
      <c r="AB28" s="262"/>
      <c r="AS28" s="27"/>
      <c r="BA28" s="241"/>
    </row>
    <row r="29" spans="2:53" s="41" customFormat="1" ht="28.5" customHeight="1" outlineLevel="1" x14ac:dyDescent="0.3">
      <c r="B29" s="34" t="s">
        <v>53</v>
      </c>
      <c r="C29" s="108" t="s">
        <v>108</v>
      </c>
      <c r="D29" s="256"/>
      <c r="E29" s="35"/>
      <c r="F29" s="40"/>
      <c r="G29" s="35"/>
      <c r="H29" s="35"/>
      <c r="I29" s="35"/>
      <c r="J29" s="35"/>
      <c r="K29" s="35"/>
      <c r="L29" s="35"/>
      <c r="M29" s="35"/>
      <c r="N29" s="44"/>
      <c r="O29" s="69">
        <f>+O30+O56</f>
        <v>41000</v>
      </c>
      <c r="P29" s="38">
        <f t="shared" ref="P29" si="11">+P30+P56</f>
        <v>41000</v>
      </c>
      <c r="Q29" s="38"/>
      <c r="R29" s="38"/>
      <c r="S29" s="38">
        <f t="shared" ref="S29:U29" si="12">+S30+S56</f>
        <v>14810</v>
      </c>
      <c r="T29" s="38">
        <f t="shared" si="12"/>
        <v>14810</v>
      </c>
      <c r="U29" s="38">
        <f t="shared" si="12"/>
        <v>0</v>
      </c>
      <c r="V29" s="233">
        <f t="shared" ref="V29" si="13">+V30+V56</f>
        <v>11655</v>
      </c>
      <c r="W29" s="233">
        <f>+W30+W56</f>
        <v>11655</v>
      </c>
      <c r="X29" s="38">
        <f t="shared" ref="X29:Y29" si="14">+X30+X56</f>
        <v>0</v>
      </c>
      <c r="Y29" s="162">
        <f t="shared" si="14"/>
        <v>2330</v>
      </c>
      <c r="Z29" s="162">
        <f t="shared" ref="Z29" si="15">+Z30+Z56</f>
        <v>2330</v>
      </c>
      <c r="AA29" s="190"/>
      <c r="AB29" s="264"/>
      <c r="AS29" s="42"/>
      <c r="BA29" s="242"/>
    </row>
    <row r="30" spans="2:53" s="41" customFormat="1" ht="21.75" customHeight="1" outlineLevel="1" x14ac:dyDescent="0.3">
      <c r="B30" s="34" t="s">
        <v>38</v>
      </c>
      <c r="C30" s="43" t="s">
        <v>4</v>
      </c>
      <c r="D30" s="35"/>
      <c r="E30" s="35"/>
      <c r="F30" s="40"/>
      <c r="G30" s="35"/>
      <c r="H30" s="35"/>
      <c r="I30" s="35"/>
      <c r="J30" s="35"/>
      <c r="K30" s="35"/>
      <c r="L30" s="35"/>
      <c r="M30" s="35"/>
      <c r="N30" s="44"/>
      <c r="O30" s="69">
        <f>O31+O32</f>
        <v>41000</v>
      </c>
      <c r="P30" s="38">
        <f t="shared" ref="P30" si="16">P31+P32</f>
        <v>41000</v>
      </c>
      <c r="Q30" s="38"/>
      <c r="R30" s="38"/>
      <c r="S30" s="38">
        <f t="shared" ref="S30:U30" si="17">S31+S32</f>
        <v>14810</v>
      </c>
      <c r="T30" s="38">
        <f t="shared" si="17"/>
        <v>14810</v>
      </c>
      <c r="U30" s="38">
        <f t="shared" si="17"/>
        <v>0</v>
      </c>
      <c r="V30" s="233">
        <f t="shared" ref="V30" si="18">V31+V32</f>
        <v>11655</v>
      </c>
      <c r="W30" s="233">
        <f>W31+W32</f>
        <v>11655</v>
      </c>
      <c r="X30" s="38">
        <f t="shared" ref="X30:Y30" si="19">X31+X32</f>
        <v>0</v>
      </c>
      <c r="Y30" s="162">
        <f t="shared" si="19"/>
        <v>2330</v>
      </c>
      <c r="Z30" s="162">
        <f t="shared" ref="Z30" si="20">Z31+Z32</f>
        <v>2330</v>
      </c>
      <c r="AA30" s="190"/>
      <c r="AB30" s="264"/>
      <c r="AS30" s="42"/>
      <c r="BA30" s="242"/>
    </row>
    <row r="31" spans="2:53" s="41" customFormat="1" ht="25.5" outlineLevel="1" x14ac:dyDescent="0.3">
      <c r="B31" s="34" t="s">
        <v>39</v>
      </c>
      <c r="C31" s="43" t="s">
        <v>76</v>
      </c>
      <c r="D31" s="35"/>
      <c r="E31" s="35"/>
      <c r="F31" s="40"/>
      <c r="G31" s="35"/>
      <c r="H31" s="35"/>
      <c r="I31" s="35"/>
      <c r="J31" s="35"/>
      <c r="K31" s="35"/>
      <c r="L31" s="35"/>
      <c r="M31" s="35"/>
      <c r="N31" s="44"/>
      <c r="O31" s="69"/>
      <c r="P31" s="38"/>
      <c r="Q31" s="38">
        <v>0</v>
      </c>
      <c r="R31" s="38">
        <v>0</v>
      </c>
      <c r="S31" s="38"/>
      <c r="T31" s="38"/>
      <c r="U31" s="38"/>
      <c r="V31" s="233"/>
      <c r="W31" s="233"/>
      <c r="X31" s="38"/>
      <c r="Y31" s="207"/>
      <c r="Z31" s="207"/>
      <c r="AA31" s="190"/>
      <c r="AB31" s="264"/>
      <c r="AS31" s="42"/>
      <c r="BA31" s="242"/>
    </row>
    <row r="32" spans="2:53" s="41" customFormat="1" outlineLevel="1" x14ac:dyDescent="0.3">
      <c r="B32" s="34" t="s">
        <v>40</v>
      </c>
      <c r="C32" s="43" t="s">
        <v>89</v>
      </c>
      <c r="D32" s="35"/>
      <c r="E32" s="35"/>
      <c r="F32" s="40"/>
      <c r="G32" s="35"/>
      <c r="H32" s="35"/>
      <c r="I32" s="35"/>
      <c r="J32" s="35"/>
      <c r="K32" s="35"/>
      <c r="L32" s="35"/>
      <c r="M32" s="35"/>
      <c r="N32" s="44"/>
      <c r="O32" s="69">
        <f>O33</f>
        <v>41000</v>
      </c>
      <c r="P32" s="38">
        <f t="shared" ref="P32" si="21">P33</f>
        <v>41000</v>
      </c>
      <c r="Q32" s="38"/>
      <c r="R32" s="38"/>
      <c r="S32" s="38">
        <f t="shared" ref="S32:U32" si="22">S33</f>
        <v>14810</v>
      </c>
      <c r="T32" s="38">
        <f t="shared" si="22"/>
        <v>14810</v>
      </c>
      <c r="U32" s="38">
        <f t="shared" si="22"/>
        <v>0</v>
      </c>
      <c r="V32" s="233">
        <f t="shared" ref="V32:Z32" si="23">V33</f>
        <v>11655</v>
      </c>
      <c r="W32" s="233">
        <f t="shared" si="23"/>
        <v>11655</v>
      </c>
      <c r="X32" s="38">
        <f t="shared" si="23"/>
        <v>0</v>
      </c>
      <c r="Y32" s="162">
        <f t="shared" si="23"/>
        <v>2330</v>
      </c>
      <c r="Z32" s="162">
        <f t="shared" si="23"/>
        <v>2330</v>
      </c>
      <c r="AA32" s="190"/>
      <c r="AB32" s="264"/>
      <c r="AS32" s="42"/>
      <c r="BA32" s="242"/>
    </row>
    <row r="33" spans="2:53" s="26" customFormat="1" ht="26.25" customHeight="1" outlineLevel="1" x14ac:dyDescent="0.3">
      <c r="B33" s="46" t="s">
        <v>41</v>
      </c>
      <c r="C33" s="47" t="s">
        <v>99</v>
      </c>
      <c r="D33" s="48"/>
      <c r="E33" s="48"/>
      <c r="F33" s="49"/>
      <c r="G33" s="48"/>
      <c r="H33" s="48"/>
      <c r="I33" s="48"/>
      <c r="J33" s="48"/>
      <c r="K33" s="48"/>
      <c r="L33" s="48"/>
      <c r="M33" s="48"/>
      <c r="N33" s="52"/>
      <c r="O33" s="72">
        <f>SUM(O34:O53)-O41</f>
        <v>41000</v>
      </c>
      <c r="P33" s="51">
        <f>SUM(P34:P53)-P41</f>
        <v>41000</v>
      </c>
      <c r="Q33" s="51">
        <f t="shared" ref="Q33:U33" si="24">SUM(Q34:Q53)</f>
        <v>0</v>
      </c>
      <c r="R33" s="51">
        <f t="shared" si="24"/>
        <v>0</v>
      </c>
      <c r="S33" s="51">
        <f>SUM(S34:S53)-1880</f>
        <v>14810</v>
      </c>
      <c r="T33" s="51">
        <f>SUM(T34:T53)-1880</f>
        <v>14810</v>
      </c>
      <c r="U33" s="51">
        <f t="shared" si="24"/>
        <v>0</v>
      </c>
      <c r="V33" s="174">
        <f>SUM(V34,V36,V38,V41,V43,V45,V47,V49,V51,V53)</f>
        <v>11655</v>
      </c>
      <c r="W33" s="174">
        <f>SUM(W34,W36,W38,W41,W43,W45,W47,W49,W51,W53)</f>
        <v>11655</v>
      </c>
      <c r="X33" s="51">
        <f t="shared" ref="X33:Y33" si="25">SUM(X34,X36,X38,X41,X43,X45,X47,X49,X51,X53)</f>
        <v>0</v>
      </c>
      <c r="Y33" s="165">
        <f t="shared" si="25"/>
        <v>2330</v>
      </c>
      <c r="Z33" s="165">
        <f>SUM(Z34,Z36,Z38,Z41,Z43,Z45,Z47,Z49,Z51,Z53)</f>
        <v>2330</v>
      </c>
      <c r="AA33" s="192"/>
      <c r="AB33" s="262"/>
      <c r="AS33" s="27"/>
      <c r="BA33" s="241"/>
    </row>
    <row r="34" spans="2:53" outlineLevel="1" x14ac:dyDescent="0.3">
      <c r="B34" s="46" t="s">
        <v>60</v>
      </c>
      <c r="C34" s="49" t="s">
        <v>82</v>
      </c>
      <c r="D34" s="48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71">
        <f>+P34</f>
        <v>1000</v>
      </c>
      <c r="P34" s="51">
        <f>P35</f>
        <v>1000</v>
      </c>
      <c r="Q34" s="51"/>
      <c r="R34" s="51"/>
      <c r="S34" s="71">
        <f>+T34</f>
        <v>755</v>
      </c>
      <c r="T34" s="51">
        <f>151*5</f>
        <v>755</v>
      </c>
      <c r="U34" s="51"/>
      <c r="V34" s="174">
        <f>+W34</f>
        <v>752</v>
      </c>
      <c r="W34" s="174">
        <v>752</v>
      </c>
      <c r="X34" s="51"/>
      <c r="Y34" s="210"/>
      <c r="Z34" s="210">
        <v>752</v>
      </c>
      <c r="AA34" s="192"/>
    </row>
    <row r="35" spans="2:53" ht="30" customHeight="1" outlineLevel="1" x14ac:dyDescent="0.3">
      <c r="B35" s="66" t="s">
        <v>109</v>
      </c>
      <c r="C35" s="58" t="s">
        <v>241</v>
      </c>
      <c r="D35" s="215" t="s">
        <v>97</v>
      </c>
      <c r="E35" s="222"/>
      <c r="F35" s="58"/>
      <c r="G35" s="222"/>
      <c r="H35" s="222"/>
      <c r="I35" s="222"/>
      <c r="J35" s="222"/>
      <c r="K35" s="222" t="s">
        <v>82</v>
      </c>
      <c r="L35" s="222"/>
      <c r="M35" s="222" t="s">
        <v>85</v>
      </c>
      <c r="N35" s="222"/>
      <c r="O35" s="74">
        <v>1000</v>
      </c>
      <c r="P35" s="17">
        <v>1000</v>
      </c>
      <c r="Q35" s="17"/>
      <c r="R35" s="17"/>
      <c r="S35" s="74">
        <v>2400</v>
      </c>
      <c r="T35" s="17">
        <v>2400</v>
      </c>
      <c r="U35" s="17"/>
      <c r="V35" s="230">
        <f>+W35</f>
        <v>752</v>
      </c>
      <c r="W35" s="230">
        <v>752</v>
      </c>
      <c r="X35" s="38"/>
      <c r="Y35" s="207"/>
      <c r="Z35" s="208">
        <v>752</v>
      </c>
      <c r="AA35" s="191" t="s">
        <v>183</v>
      </c>
      <c r="AB35" s="261">
        <f>752+248</f>
        <v>1000</v>
      </c>
    </row>
    <row r="36" spans="2:53" ht="30" customHeight="1" outlineLevel="1" x14ac:dyDescent="0.3">
      <c r="B36" s="46" t="s">
        <v>9</v>
      </c>
      <c r="C36" s="49" t="s">
        <v>90</v>
      </c>
      <c r="D36" s="48"/>
      <c r="E36" s="48"/>
      <c r="F36" s="49"/>
      <c r="G36" s="48"/>
      <c r="H36" s="48"/>
      <c r="I36" s="48"/>
      <c r="J36" s="48"/>
      <c r="K36" s="48"/>
      <c r="L36" s="48"/>
      <c r="M36" s="48"/>
      <c r="N36" s="48"/>
      <c r="O36" s="71">
        <f t="shared" ref="O36:O52" si="26">+P36</f>
        <v>1000</v>
      </c>
      <c r="P36" s="51">
        <f>P37</f>
        <v>1000</v>
      </c>
      <c r="Q36" s="51"/>
      <c r="R36" s="51"/>
      <c r="S36" s="71">
        <f t="shared" ref="S36:S53" si="27">+T36</f>
        <v>755</v>
      </c>
      <c r="T36" s="51">
        <f>151*5</f>
        <v>755</v>
      </c>
      <c r="U36" s="51"/>
      <c r="V36" s="174">
        <f t="shared" ref="V36:V54" si="28">+W36</f>
        <v>752</v>
      </c>
      <c r="W36" s="174">
        <v>752</v>
      </c>
      <c r="X36" s="51"/>
      <c r="Y36" s="210"/>
      <c r="Z36" s="210"/>
      <c r="AA36" s="192"/>
    </row>
    <row r="37" spans="2:53" ht="33" customHeight="1" outlineLevel="1" x14ac:dyDescent="0.3">
      <c r="B37" s="66" t="s">
        <v>109</v>
      </c>
      <c r="C37" s="58" t="s">
        <v>240</v>
      </c>
      <c r="D37" s="215" t="s">
        <v>97</v>
      </c>
      <c r="E37" s="222"/>
      <c r="F37" s="58"/>
      <c r="G37" s="222"/>
      <c r="H37" s="222"/>
      <c r="I37" s="222"/>
      <c r="J37" s="222"/>
      <c r="K37" s="222" t="s">
        <v>90</v>
      </c>
      <c r="L37" s="222"/>
      <c r="M37" s="222" t="s">
        <v>85</v>
      </c>
      <c r="N37" s="222"/>
      <c r="O37" s="74">
        <f t="shared" ref="O37" si="29">+P37</f>
        <v>1000</v>
      </c>
      <c r="P37" s="17">
        <v>1000</v>
      </c>
      <c r="Q37" s="17"/>
      <c r="R37" s="17"/>
      <c r="S37" s="74">
        <f t="shared" ref="S37" si="30">+T37</f>
        <v>755</v>
      </c>
      <c r="T37" s="17">
        <f>151*5</f>
        <v>755</v>
      </c>
      <c r="U37" s="17"/>
      <c r="V37" s="230">
        <f t="shared" ref="V37" si="31">+W37</f>
        <v>752</v>
      </c>
      <c r="W37" s="230">
        <v>752</v>
      </c>
      <c r="X37" s="38"/>
      <c r="Y37" s="207"/>
      <c r="Z37" s="207"/>
      <c r="AA37" s="191" t="s">
        <v>183</v>
      </c>
    </row>
    <row r="38" spans="2:53" ht="28.5" customHeight="1" outlineLevel="1" x14ac:dyDescent="0.3">
      <c r="B38" s="46" t="s">
        <v>10</v>
      </c>
      <c r="C38" s="49" t="s">
        <v>64</v>
      </c>
      <c r="D38" s="48"/>
      <c r="E38" s="48"/>
      <c r="F38" s="49"/>
      <c r="G38" s="48"/>
      <c r="H38" s="48"/>
      <c r="I38" s="48"/>
      <c r="J38" s="48"/>
      <c r="K38" s="48"/>
      <c r="L38" s="48"/>
      <c r="M38" s="48"/>
      <c r="N38" s="48"/>
      <c r="O38" s="71">
        <f t="shared" si="26"/>
        <v>1000</v>
      </c>
      <c r="P38" s="51">
        <f>P39+P40</f>
        <v>1000</v>
      </c>
      <c r="Q38" s="51"/>
      <c r="R38" s="51"/>
      <c r="S38" s="71">
        <f t="shared" si="27"/>
        <v>755</v>
      </c>
      <c r="T38" s="51">
        <f>151*5</f>
        <v>755</v>
      </c>
      <c r="U38" s="51"/>
      <c r="V38" s="174">
        <f t="shared" si="28"/>
        <v>752</v>
      </c>
      <c r="W38" s="174">
        <f>+W39+W40</f>
        <v>752</v>
      </c>
      <c r="X38" s="51">
        <f t="shared" ref="X38:Y38" si="32">+X39+X40</f>
        <v>0</v>
      </c>
      <c r="Y38" s="210">
        <f t="shared" si="32"/>
        <v>450</v>
      </c>
      <c r="Z38" s="210"/>
      <c r="AA38" s="192"/>
    </row>
    <row r="39" spans="2:53" ht="35.25" customHeight="1" outlineLevel="1" x14ac:dyDescent="0.3">
      <c r="B39" s="213" t="s">
        <v>109</v>
      </c>
      <c r="C39" s="58" t="s">
        <v>148</v>
      </c>
      <c r="D39" s="222" t="s">
        <v>188</v>
      </c>
      <c r="E39" s="222"/>
      <c r="F39" s="58"/>
      <c r="G39" s="222"/>
      <c r="H39" s="222"/>
      <c r="I39" s="222"/>
      <c r="J39" s="222"/>
      <c r="K39" s="222" t="s">
        <v>64</v>
      </c>
      <c r="L39" s="222"/>
      <c r="M39" s="222" t="s">
        <v>80</v>
      </c>
      <c r="N39" s="13" t="s">
        <v>158</v>
      </c>
      <c r="O39" s="74">
        <v>600</v>
      </c>
      <c r="P39" s="17">
        <v>600</v>
      </c>
      <c r="Q39" s="17"/>
      <c r="R39" s="17"/>
      <c r="S39" s="74"/>
      <c r="T39" s="17"/>
      <c r="U39" s="17"/>
      <c r="V39" s="230">
        <v>450</v>
      </c>
      <c r="W39" s="230">
        <v>450</v>
      </c>
      <c r="X39" s="38"/>
      <c r="Y39" s="208">
        <v>450</v>
      </c>
      <c r="Z39" s="208"/>
      <c r="AA39" s="191" t="s">
        <v>149</v>
      </c>
    </row>
    <row r="40" spans="2:53" ht="36" customHeight="1" outlineLevel="1" x14ac:dyDescent="0.3">
      <c r="B40" s="213" t="s">
        <v>109</v>
      </c>
      <c r="C40" s="58" t="s">
        <v>239</v>
      </c>
      <c r="D40" s="215" t="s">
        <v>97</v>
      </c>
      <c r="E40" s="222"/>
      <c r="F40" s="58"/>
      <c r="G40" s="222"/>
      <c r="H40" s="222"/>
      <c r="I40" s="222"/>
      <c r="J40" s="222"/>
      <c r="K40" s="222" t="s">
        <v>64</v>
      </c>
      <c r="L40" s="222"/>
      <c r="M40" s="222">
        <v>2022</v>
      </c>
      <c r="N40" s="13"/>
      <c r="O40" s="74">
        <v>400</v>
      </c>
      <c r="P40" s="17">
        <v>400</v>
      </c>
      <c r="Q40" s="17"/>
      <c r="R40" s="17"/>
      <c r="S40" s="74"/>
      <c r="T40" s="17"/>
      <c r="U40" s="17"/>
      <c r="V40" s="230">
        <v>302</v>
      </c>
      <c r="W40" s="230">
        <v>302</v>
      </c>
      <c r="X40" s="38"/>
      <c r="Y40" s="207"/>
      <c r="Z40" s="207"/>
      <c r="AA40" s="191" t="s">
        <v>212</v>
      </c>
    </row>
    <row r="41" spans="2:53" ht="31.5" customHeight="1" outlineLevel="1" x14ac:dyDescent="0.3">
      <c r="B41" s="46" t="s">
        <v>79</v>
      </c>
      <c r="C41" s="49" t="s">
        <v>84</v>
      </c>
      <c r="D41" s="48"/>
      <c r="E41" s="48"/>
      <c r="F41" s="49"/>
      <c r="G41" s="48"/>
      <c r="H41" s="48"/>
      <c r="I41" s="48"/>
      <c r="J41" s="48"/>
      <c r="K41" s="48"/>
      <c r="L41" s="48"/>
      <c r="M41" s="48"/>
      <c r="N41" s="48"/>
      <c r="O41" s="71">
        <f t="shared" si="26"/>
        <v>2500</v>
      </c>
      <c r="P41" s="51">
        <v>2500</v>
      </c>
      <c r="Q41" s="51"/>
      <c r="R41" s="51"/>
      <c r="S41" s="71">
        <f t="shared" si="27"/>
        <v>1880</v>
      </c>
      <c r="T41" s="51">
        <f>376*5</f>
        <v>1880</v>
      </c>
      <c r="U41" s="51"/>
      <c r="V41" s="174">
        <f t="shared" si="28"/>
        <v>1880</v>
      </c>
      <c r="W41" s="174">
        <f>376*5</f>
        <v>1880</v>
      </c>
      <c r="X41" s="51"/>
      <c r="Y41" s="210">
        <v>1880</v>
      </c>
      <c r="Z41" s="210"/>
      <c r="AA41" s="192"/>
    </row>
    <row r="42" spans="2:53" ht="31.5" customHeight="1" outlineLevel="1" x14ac:dyDescent="0.3">
      <c r="B42" s="213" t="s">
        <v>109</v>
      </c>
      <c r="C42" s="214" t="s">
        <v>83</v>
      </c>
      <c r="D42" s="5" t="s">
        <v>97</v>
      </c>
      <c r="E42" s="215" t="s">
        <v>84</v>
      </c>
      <c r="F42" s="58"/>
      <c r="G42" s="222"/>
      <c r="H42" s="222"/>
      <c r="I42" s="222"/>
      <c r="J42" s="222"/>
      <c r="K42" s="222" t="s">
        <v>84</v>
      </c>
      <c r="L42" s="222"/>
      <c r="M42" s="222" t="s">
        <v>80</v>
      </c>
      <c r="N42" s="13" t="s">
        <v>138</v>
      </c>
      <c r="O42" s="74">
        <f>P42</f>
        <v>2500</v>
      </c>
      <c r="P42" s="17">
        <v>2500</v>
      </c>
      <c r="Q42" s="17"/>
      <c r="R42" s="17"/>
      <c r="S42" s="74">
        <f t="shared" si="27"/>
        <v>1880</v>
      </c>
      <c r="T42" s="17">
        <v>1880</v>
      </c>
      <c r="U42" s="17"/>
      <c r="V42" s="230">
        <f t="shared" si="28"/>
        <v>1880</v>
      </c>
      <c r="W42" s="230">
        <v>1880</v>
      </c>
      <c r="X42" s="38"/>
      <c r="Y42" s="208">
        <v>1880</v>
      </c>
      <c r="Z42" s="208"/>
      <c r="AA42" s="191" t="s">
        <v>179</v>
      </c>
    </row>
    <row r="43" spans="2:53" s="26" customFormat="1" outlineLevel="1" x14ac:dyDescent="0.3">
      <c r="B43" s="46" t="s">
        <v>71</v>
      </c>
      <c r="C43" s="49" t="s">
        <v>81</v>
      </c>
      <c r="D43" s="48"/>
      <c r="E43" s="48"/>
      <c r="F43" s="49"/>
      <c r="G43" s="48"/>
      <c r="H43" s="48"/>
      <c r="I43" s="48"/>
      <c r="J43" s="48"/>
      <c r="K43" s="48"/>
      <c r="L43" s="48"/>
      <c r="M43" s="48"/>
      <c r="N43" s="48"/>
      <c r="O43" s="71">
        <f>P43</f>
        <v>10000</v>
      </c>
      <c r="P43" s="51">
        <v>10000</v>
      </c>
      <c r="Q43" s="51"/>
      <c r="R43" s="51"/>
      <c r="S43" s="71">
        <f t="shared" si="27"/>
        <v>1880</v>
      </c>
      <c r="T43" s="51">
        <f>376*5</f>
        <v>1880</v>
      </c>
      <c r="U43" s="51"/>
      <c r="V43" s="174">
        <f t="shared" si="28"/>
        <v>1880</v>
      </c>
      <c r="W43" s="174">
        <f>376*5</f>
        <v>1880</v>
      </c>
      <c r="X43" s="51"/>
      <c r="Y43" s="210"/>
      <c r="Z43" s="210">
        <f>+Z44</f>
        <v>1578</v>
      </c>
      <c r="AA43" s="192"/>
      <c r="AB43" s="262"/>
      <c r="AS43" s="27"/>
      <c r="BA43" s="241"/>
    </row>
    <row r="44" spans="2:53" ht="82.5" customHeight="1" outlineLevel="1" x14ac:dyDescent="0.3">
      <c r="B44" s="213" t="s">
        <v>109</v>
      </c>
      <c r="C44" s="58" t="s">
        <v>203</v>
      </c>
      <c r="D44" s="222" t="s">
        <v>97</v>
      </c>
      <c r="E44" s="222"/>
      <c r="F44" s="58"/>
      <c r="G44" s="222"/>
      <c r="H44" s="222"/>
      <c r="I44" s="222"/>
      <c r="J44" s="222"/>
      <c r="K44" s="222" t="s">
        <v>81</v>
      </c>
      <c r="L44" s="222"/>
      <c r="M44" s="222" t="s">
        <v>85</v>
      </c>
      <c r="N44" s="222"/>
      <c r="O44" s="74">
        <f>+P44</f>
        <v>10000</v>
      </c>
      <c r="P44" s="17">
        <v>10000</v>
      </c>
      <c r="Q44" s="17"/>
      <c r="R44" s="17"/>
      <c r="S44" s="74"/>
      <c r="T44" s="17"/>
      <c r="U44" s="17"/>
      <c r="V44" s="230">
        <f>+W44</f>
        <v>1880</v>
      </c>
      <c r="W44" s="230">
        <v>1880</v>
      </c>
      <c r="X44" s="38"/>
      <c r="Y44" s="207"/>
      <c r="Z44" s="208">
        <f>2330-752</f>
        <v>1578</v>
      </c>
      <c r="AA44" s="191" t="s">
        <v>204</v>
      </c>
    </row>
    <row r="45" spans="2:53" outlineLevel="1" x14ac:dyDescent="0.3">
      <c r="B45" s="46" t="s">
        <v>72</v>
      </c>
      <c r="C45" s="49" t="s">
        <v>91</v>
      </c>
      <c r="D45" s="48"/>
      <c r="E45" s="48"/>
      <c r="F45" s="49"/>
      <c r="G45" s="48"/>
      <c r="H45" s="48"/>
      <c r="I45" s="48"/>
      <c r="J45" s="48"/>
      <c r="K45" s="48"/>
      <c r="L45" s="48"/>
      <c r="M45" s="48"/>
      <c r="N45" s="48"/>
      <c r="O45" s="71">
        <f t="shared" si="26"/>
        <v>1250</v>
      </c>
      <c r="P45" s="51">
        <f>P46</f>
        <v>1250</v>
      </c>
      <c r="Q45" s="51"/>
      <c r="R45" s="51"/>
      <c r="S45" s="71">
        <f t="shared" si="27"/>
        <v>1126</v>
      </c>
      <c r="T45" s="51">
        <v>1126</v>
      </c>
      <c r="U45" s="51"/>
      <c r="V45" s="174">
        <f t="shared" si="28"/>
        <v>940</v>
      </c>
      <c r="W45" s="174">
        <v>940</v>
      </c>
      <c r="X45" s="51"/>
      <c r="Y45" s="210"/>
      <c r="Z45" s="210"/>
      <c r="AA45" s="192"/>
    </row>
    <row r="46" spans="2:53" ht="51.75" customHeight="1" outlineLevel="1" x14ac:dyDescent="0.3">
      <c r="B46" s="3" t="s">
        <v>109</v>
      </c>
      <c r="C46" s="58" t="s">
        <v>238</v>
      </c>
      <c r="D46" s="222" t="s">
        <v>97</v>
      </c>
      <c r="E46" s="222"/>
      <c r="F46" s="58"/>
      <c r="G46" s="222"/>
      <c r="H46" s="222"/>
      <c r="I46" s="222"/>
      <c r="J46" s="222"/>
      <c r="K46" s="222" t="s">
        <v>91</v>
      </c>
      <c r="L46" s="222"/>
      <c r="M46" s="222" t="s">
        <v>85</v>
      </c>
      <c r="N46" s="222"/>
      <c r="O46" s="74">
        <f t="shared" si="26"/>
        <v>1250</v>
      </c>
      <c r="P46" s="17">
        <v>1250</v>
      </c>
      <c r="Q46" s="17"/>
      <c r="R46" s="17"/>
      <c r="S46" s="74"/>
      <c r="T46" s="17"/>
      <c r="U46" s="17"/>
      <c r="V46" s="230">
        <f t="shared" si="28"/>
        <v>940</v>
      </c>
      <c r="W46" s="230">
        <v>940</v>
      </c>
      <c r="X46" s="38"/>
      <c r="Y46" s="207"/>
      <c r="Z46" s="207"/>
      <c r="AA46" s="191" t="s">
        <v>242</v>
      </c>
    </row>
    <row r="47" spans="2:53" outlineLevel="1" x14ac:dyDescent="0.3">
      <c r="B47" s="46" t="s">
        <v>61</v>
      </c>
      <c r="C47" s="49" t="s">
        <v>92</v>
      </c>
      <c r="D47" s="48"/>
      <c r="E47" s="48"/>
      <c r="F47" s="49"/>
      <c r="G47" s="48"/>
      <c r="H47" s="48"/>
      <c r="I47" s="48"/>
      <c r="J47" s="48"/>
      <c r="K47" s="48"/>
      <c r="L47" s="48"/>
      <c r="M47" s="48"/>
      <c r="N47" s="48"/>
      <c r="O47" s="71">
        <f t="shared" si="26"/>
        <v>1250</v>
      </c>
      <c r="P47" s="51">
        <f>P48</f>
        <v>1250</v>
      </c>
      <c r="Q47" s="51"/>
      <c r="R47" s="51"/>
      <c r="S47" s="71">
        <f t="shared" si="27"/>
        <v>1126</v>
      </c>
      <c r="T47" s="51">
        <v>1126</v>
      </c>
      <c r="U47" s="51"/>
      <c r="V47" s="174">
        <f t="shared" si="28"/>
        <v>940</v>
      </c>
      <c r="W47" s="174">
        <v>940</v>
      </c>
      <c r="X47" s="51"/>
      <c r="Y47" s="210"/>
      <c r="Z47" s="210"/>
      <c r="AA47" s="192"/>
    </row>
    <row r="48" spans="2:53" ht="36" customHeight="1" outlineLevel="1" x14ac:dyDescent="0.3">
      <c r="B48" s="3" t="s">
        <v>109</v>
      </c>
      <c r="C48" s="58" t="s">
        <v>237</v>
      </c>
      <c r="D48" s="222" t="s">
        <v>97</v>
      </c>
      <c r="E48" s="222"/>
      <c r="F48" s="58"/>
      <c r="G48" s="222"/>
      <c r="H48" s="222"/>
      <c r="I48" s="222"/>
      <c r="J48" s="222"/>
      <c r="K48" s="222" t="s">
        <v>92</v>
      </c>
      <c r="L48" s="222"/>
      <c r="M48" s="222" t="s">
        <v>85</v>
      </c>
      <c r="N48" s="222"/>
      <c r="O48" s="74">
        <f t="shared" si="26"/>
        <v>1250</v>
      </c>
      <c r="P48" s="17">
        <v>1250</v>
      </c>
      <c r="Q48" s="17"/>
      <c r="R48" s="17"/>
      <c r="S48" s="74"/>
      <c r="T48" s="17"/>
      <c r="U48" s="17"/>
      <c r="V48" s="230">
        <f t="shared" si="28"/>
        <v>940</v>
      </c>
      <c r="W48" s="230">
        <v>940</v>
      </c>
      <c r="X48" s="38"/>
      <c r="Y48" s="207"/>
      <c r="Z48" s="207"/>
      <c r="AA48" s="191" t="s">
        <v>242</v>
      </c>
    </row>
    <row r="49" spans="2:53" ht="27" customHeight="1" outlineLevel="1" x14ac:dyDescent="0.3">
      <c r="B49" s="46" t="s">
        <v>62</v>
      </c>
      <c r="C49" s="49" t="s">
        <v>93</v>
      </c>
      <c r="D49" s="48"/>
      <c r="E49" s="48"/>
      <c r="F49" s="49"/>
      <c r="G49" s="48"/>
      <c r="H49" s="48"/>
      <c r="I49" s="48"/>
      <c r="J49" s="48"/>
      <c r="K49" s="48"/>
      <c r="L49" s="48"/>
      <c r="M49" s="48"/>
      <c r="N49" s="48"/>
      <c r="O49" s="71">
        <f t="shared" si="26"/>
        <v>1250</v>
      </c>
      <c r="P49" s="51">
        <f>P50</f>
        <v>1250</v>
      </c>
      <c r="Q49" s="51"/>
      <c r="R49" s="51"/>
      <c r="S49" s="71">
        <f t="shared" si="27"/>
        <v>1126</v>
      </c>
      <c r="T49" s="51">
        <v>1126</v>
      </c>
      <c r="U49" s="51"/>
      <c r="V49" s="174">
        <f t="shared" si="28"/>
        <v>939</v>
      </c>
      <c r="W49" s="174">
        <v>939</v>
      </c>
      <c r="X49" s="51"/>
      <c r="Y49" s="210"/>
      <c r="Z49" s="210"/>
      <c r="AA49" s="192"/>
    </row>
    <row r="50" spans="2:53" ht="32.25" customHeight="1" outlineLevel="1" x14ac:dyDescent="0.3">
      <c r="B50" s="3" t="s">
        <v>109</v>
      </c>
      <c r="C50" s="58" t="s">
        <v>234</v>
      </c>
      <c r="D50" s="222" t="s">
        <v>97</v>
      </c>
      <c r="E50" s="222"/>
      <c r="F50" s="58"/>
      <c r="G50" s="222"/>
      <c r="H50" s="222"/>
      <c r="I50" s="222"/>
      <c r="J50" s="222"/>
      <c r="K50" s="222" t="s">
        <v>93</v>
      </c>
      <c r="L50" s="222"/>
      <c r="M50" s="222" t="s">
        <v>85</v>
      </c>
      <c r="N50" s="222"/>
      <c r="O50" s="74">
        <f t="shared" si="26"/>
        <v>1250</v>
      </c>
      <c r="P50" s="17">
        <v>1250</v>
      </c>
      <c r="Q50" s="17"/>
      <c r="R50" s="17"/>
      <c r="S50" s="74"/>
      <c r="T50" s="17"/>
      <c r="U50" s="17"/>
      <c r="V50" s="230">
        <f t="shared" si="28"/>
        <v>939</v>
      </c>
      <c r="W50" s="230">
        <v>939</v>
      </c>
      <c r="X50" s="38"/>
      <c r="Y50" s="207"/>
      <c r="Z50" s="207"/>
      <c r="AA50" s="191" t="s">
        <v>243</v>
      </c>
    </row>
    <row r="51" spans="2:53" outlineLevel="1" x14ac:dyDescent="0.3">
      <c r="B51" s="46" t="s">
        <v>63</v>
      </c>
      <c r="C51" s="49" t="s">
        <v>94</v>
      </c>
      <c r="D51" s="48"/>
      <c r="E51" s="48"/>
      <c r="F51" s="49"/>
      <c r="G51" s="48"/>
      <c r="H51" s="48"/>
      <c r="I51" s="48"/>
      <c r="J51" s="48"/>
      <c r="K51" s="48"/>
      <c r="L51" s="48"/>
      <c r="M51" s="48"/>
      <c r="N51" s="48"/>
      <c r="O51" s="71">
        <f t="shared" si="26"/>
        <v>1250</v>
      </c>
      <c r="P51" s="51">
        <f>P52</f>
        <v>1250</v>
      </c>
      <c r="Q51" s="51"/>
      <c r="R51" s="51"/>
      <c r="S51" s="71">
        <f t="shared" si="27"/>
        <v>1126</v>
      </c>
      <c r="T51" s="51">
        <v>1126</v>
      </c>
      <c r="U51" s="51"/>
      <c r="V51" s="174">
        <f t="shared" si="28"/>
        <v>940</v>
      </c>
      <c r="W51" s="174">
        <v>940</v>
      </c>
      <c r="X51" s="51"/>
      <c r="Y51" s="210"/>
      <c r="Z51" s="210"/>
      <c r="AA51" s="192"/>
    </row>
    <row r="52" spans="2:53" ht="32.25" customHeight="1" outlineLevel="1" x14ac:dyDescent="0.3">
      <c r="B52" s="3" t="s">
        <v>109</v>
      </c>
      <c r="C52" s="58" t="s">
        <v>233</v>
      </c>
      <c r="D52" s="222" t="s">
        <v>97</v>
      </c>
      <c r="E52" s="222"/>
      <c r="F52" s="58"/>
      <c r="G52" s="222"/>
      <c r="H52" s="222"/>
      <c r="I52" s="222"/>
      <c r="J52" s="222"/>
      <c r="K52" s="222" t="s">
        <v>94</v>
      </c>
      <c r="L52" s="222"/>
      <c r="M52" s="222" t="s">
        <v>85</v>
      </c>
      <c r="N52" s="222"/>
      <c r="O52" s="74">
        <f t="shared" si="26"/>
        <v>1250</v>
      </c>
      <c r="P52" s="17">
        <v>1250</v>
      </c>
      <c r="Q52" s="17"/>
      <c r="R52" s="17"/>
      <c r="S52" s="74"/>
      <c r="T52" s="17"/>
      <c r="U52" s="17"/>
      <c r="V52" s="230">
        <f t="shared" si="28"/>
        <v>940</v>
      </c>
      <c r="W52" s="230">
        <v>940</v>
      </c>
      <c r="X52" s="38"/>
      <c r="Y52" s="207"/>
      <c r="Z52" s="207"/>
      <c r="AA52" s="191" t="s">
        <v>242</v>
      </c>
    </row>
    <row r="53" spans="2:53" ht="23.25" customHeight="1" outlineLevel="1" x14ac:dyDescent="0.3">
      <c r="B53" s="46" t="s">
        <v>87</v>
      </c>
      <c r="C53" s="49" t="s">
        <v>95</v>
      </c>
      <c r="D53" s="48"/>
      <c r="E53" s="48"/>
      <c r="F53" s="49"/>
      <c r="G53" s="48"/>
      <c r="H53" s="48"/>
      <c r="I53" s="48"/>
      <c r="J53" s="48"/>
      <c r="K53" s="48"/>
      <c r="L53" s="48"/>
      <c r="M53" s="48"/>
      <c r="N53" s="48"/>
      <c r="O53" s="71">
        <f>O54</f>
        <v>2500</v>
      </c>
      <c r="P53" s="51">
        <f>P54</f>
        <v>2500</v>
      </c>
      <c r="Q53" s="51"/>
      <c r="R53" s="51"/>
      <c r="S53" s="71">
        <f t="shared" si="27"/>
        <v>1126</v>
      </c>
      <c r="T53" s="51">
        <v>1126</v>
      </c>
      <c r="U53" s="51"/>
      <c r="V53" s="174">
        <f t="shared" si="28"/>
        <v>1880</v>
      </c>
      <c r="W53" s="174">
        <v>1880</v>
      </c>
      <c r="X53" s="51"/>
      <c r="Y53" s="210"/>
      <c r="Z53" s="210"/>
      <c r="AA53" s="192"/>
    </row>
    <row r="54" spans="2:53" ht="32.25" customHeight="1" outlineLevel="1" x14ac:dyDescent="0.3">
      <c r="B54" s="3" t="s">
        <v>109</v>
      </c>
      <c r="C54" s="58" t="s">
        <v>232</v>
      </c>
      <c r="D54" s="222" t="s">
        <v>97</v>
      </c>
      <c r="E54" s="222"/>
      <c r="F54" s="58"/>
      <c r="G54" s="222"/>
      <c r="H54" s="222"/>
      <c r="I54" s="222"/>
      <c r="J54" s="222"/>
      <c r="K54" s="222" t="s">
        <v>95</v>
      </c>
      <c r="L54" s="222"/>
      <c r="M54" s="222" t="s">
        <v>85</v>
      </c>
      <c r="N54" s="222"/>
      <c r="O54" s="74">
        <f t="shared" ref="O54" si="33">+P54</f>
        <v>2500</v>
      </c>
      <c r="P54" s="17">
        <v>2500</v>
      </c>
      <c r="Q54" s="17"/>
      <c r="R54" s="17"/>
      <c r="S54" s="74"/>
      <c r="T54" s="17"/>
      <c r="U54" s="17"/>
      <c r="V54" s="230">
        <f t="shared" si="28"/>
        <v>1880</v>
      </c>
      <c r="W54" s="230">
        <v>1880</v>
      </c>
      <c r="X54" s="38"/>
      <c r="Y54" s="207"/>
      <c r="Z54" s="207"/>
      <c r="AA54" s="191" t="s">
        <v>179</v>
      </c>
    </row>
    <row r="55" spans="2:53" s="26" customFormat="1" outlineLevel="1" x14ac:dyDescent="0.3">
      <c r="B55" s="46" t="s">
        <v>54</v>
      </c>
      <c r="C55" s="47" t="s">
        <v>77</v>
      </c>
      <c r="D55" s="48"/>
      <c r="E55" s="48"/>
      <c r="F55" s="49"/>
      <c r="G55" s="48"/>
      <c r="H55" s="48"/>
      <c r="I55" s="48"/>
      <c r="J55" s="48"/>
      <c r="K55" s="48"/>
      <c r="L55" s="48"/>
      <c r="M55" s="48"/>
      <c r="N55" s="52"/>
      <c r="O55" s="72"/>
      <c r="P55" s="51"/>
      <c r="Q55" s="51">
        <v>0</v>
      </c>
      <c r="R55" s="51">
        <v>0</v>
      </c>
      <c r="S55" s="51"/>
      <c r="T55" s="51"/>
      <c r="U55" s="51"/>
      <c r="V55" s="174"/>
      <c r="W55" s="174"/>
      <c r="X55" s="51"/>
      <c r="Y55" s="210"/>
      <c r="Z55" s="210"/>
      <c r="AA55" s="192"/>
      <c r="AB55" s="262"/>
      <c r="AS55" s="27"/>
      <c r="BA55" s="241"/>
    </row>
    <row r="56" spans="2:53" s="41" customFormat="1" outlineLevel="2" x14ac:dyDescent="0.3">
      <c r="B56" s="53" t="s">
        <v>52</v>
      </c>
      <c r="C56" s="54" t="s">
        <v>55</v>
      </c>
      <c r="D56" s="55"/>
      <c r="E56" s="55"/>
      <c r="F56" s="55"/>
      <c r="G56" s="55" t="s">
        <v>43</v>
      </c>
      <c r="H56" s="56" t="s">
        <v>56</v>
      </c>
      <c r="I56" s="55" t="s">
        <v>44</v>
      </c>
      <c r="J56" s="55" t="s">
        <v>45</v>
      </c>
      <c r="K56" s="55"/>
      <c r="L56" s="55"/>
      <c r="M56" s="55"/>
      <c r="N56" s="55"/>
      <c r="O56" s="73"/>
      <c r="P56" s="57"/>
      <c r="Q56" s="38">
        <v>0</v>
      </c>
      <c r="R56" s="38">
        <v>0</v>
      </c>
      <c r="S56" s="38"/>
      <c r="T56" s="38"/>
      <c r="U56" s="38"/>
      <c r="V56" s="233"/>
      <c r="W56" s="233"/>
      <c r="X56" s="38"/>
      <c r="Y56" s="207"/>
      <c r="Z56" s="207"/>
      <c r="AA56" s="191"/>
      <c r="AB56" s="264"/>
      <c r="AS56" s="42"/>
      <c r="BA56" s="242"/>
    </row>
    <row r="57" spans="2:53" s="41" customFormat="1" outlineLevel="2" x14ac:dyDescent="0.3">
      <c r="B57" s="34" t="s">
        <v>118</v>
      </c>
      <c r="C57" s="108" t="s">
        <v>110</v>
      </c>
      <c r="D57" s="256"/>
      <c r="E57" s="35"/>
      <c r="F57" s="40"/>
      <c r="G57" s="35"/>
      <c r="H57" s="35"/>
      <c r="I57" s="35"/>
      <c r="J57" s="35"/>
      <c r="K57" s="35"/>
      <c r="L57" s="35"/>
      <c r="M57" s="35"/>
      <c r="N57" s="44"/>
      <c r="O57" s="69">
        <f>O58</f>
        <v>16000</v>
      </c>
      <c r="P57" s="38">
        <f>P58</f>
        <v>16000</v>
      </c>
      <c r="Q57" s="38"/>
      <c r="R57" s="38"/>
      <c r="S57" s="38">
        <f>S58</f>
        <v>10000</v>
      </c>
      <c r="T57" s="38">
        <f>T58</f>
        <v>10000</v>
      </c>
      <c r="U57" s="38"/>
      <c r="V57" s="233">
        <f>V58</f>
        <v>10000</v>
      </c>
      <c r="W57" s="233">
        <f>W58</f>
        <v>10000</v>
      </c>
      <c r="X57" s="38">
        <f t="shared" ref="X57:Z57" si="34">X58</f>
        <v>0</v>
      </c>
      <c r="Y57" s="162">
        <f t="shared" si="34"/>
        <v>0</v>
      </c>
      <c r="Z57" s="162">
        <f t="shared" si="34"/>
        <v>2500</v>
      </c>
      <c r="AA57" s="190"/>
      <c r="AB57" s="264"/>
      <c r="AS57" s="42"/>
      <c r="BA57" s="242"/>
    </row>
    <row r="58" spans="2:53" s="41" customFormat="1" ht="39" customHeight="1" outlineLevel="2" x14ac:dyDescent="0.3">
      <c r="B58" s="3" t="s">
        <v>60</v>
      </c>
      <c r="C58" s="14" t="s">
        <v>178</v>
      </c>
      <c r="D58" s="5" t="s">
        <v>97</v>
      </c>
      <c r="E58" s="6"/>
      <c r="F58" s="15"/>
      <c r="G58" s="6"/>
      <c r="H58" s="6"/>
      <c r="I58" s="6"/>
      <c r="J58" s="6"/>
      <c r="K58" s="6" t="s">
        <v>46</v>
      </c>
      <c r="L58" s="222"/>
      <c r="M58" s="222" t="s">
        <v>85</v>
      </c>
      <c r="N58" s="13"/>
      <c r="O58" s="8">
        <f>P58</f>
        <v>16000</v>
      </c>
      <c r="P58" s="16">
        <v>16000</v>
      </c>
      <c r="Q58" s="17"/>
      <c r="R58" s="17"/>
      <c r="S58" s="17">
        <f>+T58</f>
        <v>10000</v>
      </c>
      <c r="T58" s="17">
        <v>10000</v>
      </c>
      <c r="U58" s="17"/>
      <c r="V58" s="230">
        <f>+W58</f>
        <v>10000</v>
      </c>
      <c r="W58" s="230">
        <v>10000</v>
      </c>
      <c r="X58" s="17"/>
      <c r="Y58" s="208"/>
      <c r="Z58" s="208">
        <v>2500</v>
      </c>
      <c r="AA58" s="191" t="s">
        <v>209</v>
      </c>
      <c r="AB58" s="264">
        <f>6000+10000</f>
        <v>16000</v>
      </c>
      <c r="AS58" s="42"/>
      <c r="BA58" s="242"/>
    </row>
    <row r="59" spans="2:53" s="12" customFormat="1" ht="33.75" customHeight="1" x14ac:dyDescent="0.3">
      <c r="B59" s="34" t="s">
        <v>58</v>
      </c>
      <c r="C59" s="108" t="s">
        <v>59</v>
      </c>
      <c r="D59" s="35"/>
      <c r="E59" s="36"/>
      <c r="F59" s="37"/>
      <c r="G59" s="36"/>
      <c r="H59" s="36"/>
      <c r="I59" s="36"/>
      <c r="J59" s="36"/>
      <c r="K59" s="36"/>
      <c r="L59" s="35"/>
      <c r="M59" s="35"/>
      <c r="N59" s="59">
        <f>SUM(N61:N93)</f>
        <v>0</v>
      </c>
      <c r="O59" s="69">
        <f>O60</f>
        <v>678560</v>
      </c>
      <c r="P59" s="69">
        <f>P60</f>
        <v>331760</v>
      </c>
      <c r="Q59" s="69">
        <f>Q60</f>
        <v>0</v>
      </c>
      <c r="R59" s="69">
        <f>R60</f>
        <v>0</v>
      </c>
      <c r="S59" s="69" t="e">
        <f>S60+#REF!</f>
        <v>#REF!</v>
      </c>
      <c r="T59" s="69" t="e">
        <f>T60+#REF!</f>
        <v>#REF!</v>
      </c>
      <c r="U59" s="69" t="e">
        <f>U60+#REF!</f>
        <v>#REF!</v>
      </c>
      <c r="V59" s="225">
        <f>V60</f>
        <v>299915.902</v>
      </c>
      <c r="W59" s="225">
        <f>W60</f>
        <v>299915.902</v>
      </c>
      <c r="X59" s="257">
        <f t="shared" ref="X59:Z59" si="35">X60</f>
        <v>0</v>
      </c>
      <c r="Y59" s="257">
        <f t="shared" si="35"/>
        <v>34777.141000000003</v>
      </c>
      <c r="Z59" s="257">
        <f t="shared" si="35"/>
        <v>82147.600000000006</v>
      </c>
      <c r="AA59" s="191"/>
      <c r="AB59" s="264">
        <f>+Z59-87901</f>
        <v>-5753.3999999999942</v>
      </c>
      <c r="AD59" s="12">
        <f>+AE59-AC59</f>
        <v>-575.33999999999946</v>
      </c>
      <c r="AE59" s="12">
        <f>+AB59*0.1</f>
        <v>-575.33999999999946</v>
      </c>
      <c r="AS59" s="11"/>
      <c r="BA59" s="240"/>
    </row>
    <row r="60" spans="2:53" s="41" customFormat="1" ht="21.75" customHeight="1" outlineLevel="1" x14ac:dyDescent="0.3">
      <c r="B60" s="34" t="s">
        <v>38</v>
      </c>
      <c r="C60" s="43" t="s">
        <v>4</v>
      </c>
      <c r="D60" s="35"/>
      <c r="E60" s="35"/>
      <c r="F60" s="40"/>
      <c r="G60" s="35"/>
      <c r="H60" s="35"/>
      <c r="I60" s="35"/>
      <c r="J60" s="35"/>
      <c r="K60" s="35"/>
      <c r="L60" s="35"/>
      <c r="M60" s="35"/>
      <c r="N60" s="44"/>
      <c r="O60" s="38">
        <f t="shared" ref="O60:Z60" si="36">+O61+O63+O81+O92</f>
        <v>678560</v>
      </c>
      <c r="P60" s="38">
        <f t="shared" si="36"/>
        <v>331760</v>
      </c>
      <c r="Q60" s="38">
        <f t="shared" si="36"/>
        <v>0</v>
      </c>
      <c r="R60" s="38">
        <f t="shared" si="36"/>
        <v>0</v>
      </c>
      <c r="S60" s="38">
        <f t="shared" si="36"/>
        <v>193200</v>
      </c>
      <c r="T60" s="38">
        <f t="shared" si="36"/>
        <v>193200</v>
      </c>
      <c r="U60" s="38">
        <f t="shared" si="36"/>
        <v>0</v>
      </c>
      <c r="V60" s="233">
        <f t="shared" si="36"/>
        <v>299915.902</v>
      </c>
      <c r="W60" s="233">
        <f t="shared" si="36"/>
        <v>299915.902</v>
      </c>
      <c r="X60" s="38">
        <f t="shared" si="36"/>
        <v>0</v>
      </c>
      <c r="Y60" s="162">
        <f t="shared" si="36"/>
        <v>34777.141000000003</v>
      </c>
      <c r="Z60" s="162">
        <f t="shared" si="36"/>
        <v>82147.600000000006</v>
      </c>
      <c r="AA60" s="190"/>
      <c r="AB60" s="264"/>
      <c r="AS60" s="42"/>
      <c r="BA60" s="242"/>
    </row>
    <row r="61" spans="2:53" s="41" customFormat="1" ht="34.5" customHeight="1" outlineLevel="1" x14ac:dyDescent="0.3">
      <c r="B61" s="34" t="s">
        <v>39</v>
      </c>
      <c r="C61" s="43" t="s">
        <v>76</v>
      </c>
      <c r="D61" s="35"/>
      <c r="E61" s="35"/>
      <c r="F61" s="40"/>
      <c r="G61" s="35"/>
      <c r="H61" s="35"/>
      <c r="I61" s="35"/>
      <c r="J61" s="35"/>
      <c r="K61" s="35"/>
      <c r="L61" s="35"/>
      <c r="M61" s="35"/>
      <c r="N61" s="44"/>
      <c r="O61" s="69">
        <f>+O62</f>
        <v>123000</v>
      </c>
      <c r="P61" s="69">
        <f>+P62</f>
        <v>88000</v>
      </c>
      <c r="Q61" s="38"/>
      <c r="R61" s="38"/>
      <c r="S61" s="38">
        <f t="shared" ref="S61:X61" si="37">S62</f>
        <v>40000</v>
      </c>
      <c r="T61" s="38">
        <f t="shared" si="37"/>
        <v>40000</v>
      </c>
      <c r="U61" s="38">
        <f t="shared" si="37"/>
        <v>0</v>
      </c>
      <c r="V61" s="233">
        <f t="shared" si="37"/>
        <v>86083.160999999993</v>
      </c>
      <c r="W61" s="233">
        <f t="shared" si="37"/>
        <v>86083.160999999993</v>
      </c>
      <c r="X61" s="38">
        <f t="shared" si="37"/>
        <v>0</v>
      </c>
      <c r="Y61" s="162">
        <f>Y62</f>
        <v>0</v>
      </c>
      <c r="Z61" s="162">
        <f>Z62</f>
        <v>25000</v>
      </c>
      <c r="AA61" s="191"/>
      <c r="AB61" s="264"/>
      <c r="AS61" s="42"/>
      <c r="BA61" s="242"/>
    </row>
    <row r="62" spans="2:53" s="41" customFormat="1" ht="81.75" customHeight="1" outlineLevel="1" x14ac:dyDescent="0.3">
      <c r="B62" s="3">
        <v>1</v>
      </c>
      <c r="C62" s="14" t="s">
        <v>100</v>
      </c>
      <c r="D62" s="5" t="s">
        <v>97</v>
      </c>
      <c r="E62" s="6"/>
      <c r="F62" s="15"/>
      <c r="G62" s="6"/>
      <c r="H62" s="6"/>
      <c r="I62" s="6"/>
      <c r="J62" s="6"/>
      <c r="K62" s="6" t="s">
        <v>95</v>
      </c>
      <c r="L62" s="222"/>
      <c r="M62" s="222" t="s">
        <v>57</v>
      </c>
      <c r="N62" s="13" t="s">
        <v>191</v>
      </c>
      <c r="O62" s="8">
        <v>123000</v>
      </c>
      <c r="P62" s="16">
        <v>88000</v>
      </c>
      <c r="Q62" s="17"/>
      <c r="R62" s="17"/>
      <c r="S62" s="17">
        <v>40000</v>
      </c>
      <c r="T62" s="17">
        <v>40000</v>
      </c>
      <c r="U62" s="17"/>
      <c r="V62" s="226">
        <f>W62</f>
        <v>86083.160999999993</v>
      </c>
      <c r="W62" s="230">
        <v>86083.160999999993</v>
      </c>
      <c r="X62" s="17"/>
      <c r="Y62" s="208">
        <v>0</v>
      </c>
      <c r="Z62" s="208">
        <v>25000</v>
      </c>
      <c r="AA62" s="191" t="s">
        <v>170</v>
      </c>
      <c r="AB62" s="264"/>
      <c r="AS62" s="42"/>
      <c r="BA62" s="242"/>
    </row>
    <row r="63" spans="2:53" s="41" customFormat="1" ht="22.5" customHeight="1" outlineLevel="1" x14ac:dyDescent="0.3">
      <c r="B63" s="34" t="s">
        <v>40</v>
      </c>
      <c r="C63" s="43" t="s">
        <v>89</v>
      </c>
      <c r="D63" s="35"/>
      <c r="E63" s="35"/>
      <c r="F63" s="40"/>
      <c r="G63" s="35"/>
      <c r="H63" s="35"/>
      <c r="I63" s="35"/>
      <c r="J63" s="35"/>
      <c r="K63" s="35"/>
      <c r="L63" s="35"/>
      <c r="M63" s="35"/>
      <c r="N63" s="44"/>
      <c r="O63" s="69">
        <f t="shared" ref="O63:Z63" si="38">+O64</f>
        <v>505200</v>
      </c>
      <c r="P63" s="69">
        <f t="shared" si="38"/>
        <v>193400</v>
      </c>
      <c r="Q63" s="69">
        <f t="shared" si="38"/>
        <v>0</v>
      </c>
      <c r="R63" s="69">
        <f t="shared" si="38"/>
        <v>0</v>
      </c>
      <c r="S63" s="69">
        <f t="shared" si="38"/>
        <v>148200</v>
      </c>
      <c r="T63" s="69">
        <f t="shared" si="38"/>
        <v>148200</v>
      </c>
      <c r="U63" s="69">
        <f t="shared" si="38"/>
        <v>0</v>
      </c>
      <c r="V63" s="234">
        <f t="shared" si="38"/>
        <v>163472.74100000001</v>
      </c>
      <c r="W63" s="234">
        <f t="shared" si="38"/>
        <v>163472.74100000001</v>
      </c>
      <c r="X63" s="69">
        <f t="shared" si="38"/>
        <v>0</v>
      </c>
      <c r="Y63" s="193">
        <f t="shared" si="38"/>
        <v>29277.141000000003</v>
      </c>
      <c r="Z63" s="193">
        <f t="shared" si="38"/>
        <v>45507.6</v>
      </c>
      <c r="AA63" s="190"/>
      <c r="AB63" s="264"/>
      <c r="AS63" s="42"/>
      <c r="BA63" s="242"/>
    </row>
    <row r="64" spans="2:53" s="26" customFormat="1" ht="31.5" customHeight="1" outlineLevel="1" x14ac:dyDescent="0.3">
      <c r="B64" s="46" t="s">
        <v>41</v>
      </c>
      <c r="C64" s="47" t="s">
        <v>99</v>
      </c>
      <c r="D64" s="48"/>
      <c r="E64" s="48"/>
      <c r="F64" s="49"/>
      <c r="G64" s="48"/>
      <c r="H64" s="48"/>
      <c r="I64" s="48"/>
      <c r="J64" s="48"/>
      <c r="K64" s="48"/>
      <c r="L64" s="48"/>
      <c r="M64" s="48"/>
      <c r="N64" s="52"/>
      <c r="O64" s="235">
        <f>SUM(O65:O79)</f>
        <v>505200</v>
      </c>
      <c r="P64" s="235">
        <f>SUM(P65:P79)</f>
        <v>193400</v>
      </c>
      <c r="Q64" s="164">
        <f t="shared" ref="Q64:Z64" si="39">SUM(Q65:Q74)</f>
        <v>0</v>
      </c>
      <c r="R64" s="164">
        <f t="shared" si="39"/>
        <v>0</v>
      </c>
      <c r="S64" s="164">
        <f t="shared" si="39"/>
        <v>148200</v>
      </c>
      <c r="T64" s="164">
        <f t="shared" si="39"/>
        <v>148200</v>
      </c>
      <c r="U64" s="164">
        <f t="shared" si="39"/>
        <v>0</v>
      </c>
      <c r="V64" s="235">
        <f>SUM(V65:V79)</f>
        <v>163472.74100000001</v>
      </c>
      <c r="W64" s="235">
        <f>SUM(W65:W79)</f>
        <v>163472.74100000001</v>
      </c>
      <c r="X64" s="164">
        <f t="shared" si="39"/>
        <v>0</v>
      </c>
      <c r="Y64" s="164">
        <f t="shared" si="39"/>
        <v>29277.141000000003</v>
      </c>
      <c r="Z64" s="164">
        <f t="shared" si="39"/>
        <v>45507.6</v>
      </c>
      <c r="AA64" s="192"/>
      <c r="AB64" s="262"/>
      <c r="AS64" s="27"/>
      <c r="BA64" s="241"/>
    </row>
    <row r="65" spans="2:53" s="12" customFormat="1" ht="39.75" customHeight="1" x14ac:dyDescent="0.3">
      <c r="B65" s="3" t="s">
        <v>60</v>
      </c>
      <c r="C65" s="14" t="s">
        <v>101</v>
      </c>
      <c r="D65" s="5" t="s">
        <v>97</v>
      </c>
      <c r="E65" s="6"/>
      <c r="F65" s="6"/>
      <c r="G65" s="6"/>
      <c r="H65" s="6"/>
      <c r="I65" s="6"/>
      <c r="J65" s="6"/>
      <c r="K65" s="6" t="s">
        <v>46</v>
      </c>
      <c r="L65" s="222"/>
      <c r="M65" s="222" t="s">
        <v>80</v>
      </c>
      <c r="N65" s="13" t="s">
        <v>137</v>
      </c>
      <c r="O65" s="8">
        <v>4000</v>
      </c>
      <c r="P65" s="8">
        <v>4000</v>
      </c>
      <c r="Q65" s="9">
        <v>0</v>
      </c>
      <c r="R65" s="9">
        <v>0</v>
      </c>
      <c r="S65" s="9">
        <v>4000</v>
      </c>
      <c r="T65" s="9">
        <v>4000</v>
      </c>
      <c r="U65" s="9"/>
      <c r="V65" s="230">
        <f>W65</f>
        <v>3823.741</v>
      </c>
      <c r="W65" s="230">
        <v>3823.741</v>
      </c>
      <c r="X65" s="9"/>
      <c r="Y65" s="208">
        <v>3823.741</v>
      </c>
      <c r="Z65" s="208"/>
      <c r="AA65" s="191"/>
      <c r="AB65" s="263">
        <v>3823.741</v>
      </c>
      <c r="AC65" s="12" t="s">
        <v>248</v>
      </c>
      <c r="AS65" s="11"/>
      <c r="BA65" s="240"/>
    </row>
    <row r="66" spans="2:53" s="12" customFormat="1" ht="39.75" customHeight="1" x14ac:dyDescent="0.3">
      <c r="B66" s="3">
        <f>B65+1</f>
        <v>2</v>
      </c>
      <c r="C66" s="14" t="s">
        <v>86</v>
      </c>
      <c r="D66" s="5" t="s">
        <v>97</v>
      </c>
      <c r="E66" s="6"/>
      <c r="F66" s="15"/>
      <c r="G66" s="6"/>
      <c r="H66" s="6"/>
      <c r="I66" s="6"/>
      <c r="J66" s="6"/>
      <c r="K66" s="6" t="s">
        <v>46</v>
      </c>
      <c r="L66" s="222"/>
      <c r="M66" s="222" t="s">
        <v>80</v>
      </c>
      <c r="N66" s="13" t="s">
        <v>136</v>
      </c>
      <c r="O66" s="8">
        <f>+P66</f>
        <v>12700</v>
      </c>
      <c r="P66" s="16">
        <v>12700</v>
      </c>
      <c r="Q66" s="17"/>
      <c r="R66" s="17"/>
      <c r="S66" s="8">
        <f t="shared" ref="S66" si="40">+T66</f>
        <v>4700</v>
      </c>
      <c r="T66" s="16">
        <v>4700</v>
      </c>
      <c r="U66" s="17"/>
      <c r="V66" s="230">
        <f>+W66</f>
        <v>11000</v>
      </c>
      <c r="W66" s="230">
        <v>11000</v>
      </c>
      <c r="X66" s="17"/>
      <c r="Y66" s="208">
        <v>10000</v>
      </c>
      <c r="Z66" s="208">
        <v>1000</v>
      </c>
      <c r="AA66" s="191" t="s">
        <v>226</v>
      </c>
      <c r="AB66" s="263">
        <f>1690+11000</f>
        <v>12690</v>
      </c>
      <c r="AC66" s="12" t="s">
        <v>249</v>
      </c>
      <c r="AS66" s="11"/>
      <c r="BA66" s="240"/>
    </row>
    <row r="67" spans="2:53" s="12" customFormat="1" ht="72.75" customHeight="1" x14ac:dyDescent="0.3">
      <c r="B67" s="3">
        <f t="shared" ref="B67:B74" si="41">B66+1</f>
        <v>3</v>
      </c>
      <c r="C67" s="14" t="s">
        <v>88</v>
      </c>
      <c r="D67" s="5" t="s">
        <v>97</v>
      </c>
      <c r="E67" s="124"/>
      <c r="F67" s="124"/>
      <c r="G67" s="124"/>
      <c r="H67" s="124"/>
      <c r="I67" s="222"/>
      <c r="J67" s="124"/>
      <c r="K67" s="6" t="s">
        <v>103</v>
      </c>
      <c r="L67" s="222"/>
      <c r="M67" s="222" t="s">
        <v>80</v>
      </c>
      <c r="N67" s="13" t="s">
        <v>156</v>
      </c>
      <c r="O67" s="125">
        <f>+P67</f>
        <v>7800</v>
      </c>
      <c r="P67" s="17">
        <v>7800</v>
      </c>
      <c r="Q67" s="126"/>
      <c r="R67" s="126"/>
      <c r="S67" s="125">
        <f t="shared" ref="S67" si="42">+T67</f>
        <v>4000</v>
      </c>
      <c r="T67" s="17">
        <v>4000</v>
      </c>
      <c r="U67" s="126"/>
      <c r="V67" s="230">
        <f>+W67</f>
        <v>6745</v>
      </c>
      <c r="W67" s="230">
        <v>6745</v>
      </c>
      <c r="X67" s="38"/>
      <c r="Y67" s="208">
        <v>3100</v>
      </c>
      <c r="Z67" s="208">
        <v>3000</v>
      </c>
      <c r="AA67" s="191" t="s">
        <v>227</v>
      </c>
      <c r="AB67" s="263">
        <f>1040+6745</f>
        <v>7785</v>
      </c>
      <c r="AC67" s="12" t="s">
        <v>249</v>
      </c>
      <c r="AS67" s="11"/>
      <c r="BA67" s="240"/>
    </row>
    <row r="68" spans="2:53" s="12" customFormat="1" ht="39.75" customHeight="1" x14ac:dyDescent="0.3">
      <c r="B68" s="3">
        <f t="shared" si="41"/>
        <v>4</v>
      </c>
      <c r="C68" s="95" t="s">
        <v>104</v>
      </c>
      <c r="D68" s="5" t="s">
        <v>97</v>
      </c>
      <c r="E68" s="124"/>
      <c r="F68" s="124"/>
      <c r="G68" s="124"/>
      <c r="H68" s="124"/>
      <c r="I68" s="222"/>
      <c r="J68" s="124"/>
      <c r="K68" s="222" t="s">
        <v>103</v>
      </c>
      <c r="L68" s="222"/>
      <c r="M68" s="222" t="s">
        <v>80</v>
      </c>
      <c r="N68" s="13" t="s">
        <v>139</v>
      </c>
      <c r="O68" s="125">
        <v>9800</v>
      </c>
      <c r="P68" s="125">
        <v>9800</v>
      </c>
      <c r="Q68" s="126"/>
      <c r="R68" s="126"/>
      <c r="S68" s="125">
        <f>T68</f>
        <v>3800</v>
      </c>
      <c r="T68" s="125">
        <v>3800</v>
      </c>
      <c r="U68" s="126"/>
      <c r="V68" s="230">
        <f>W68</f>
        <v>1800</v>
      </c>
      <c r="W68" s="230">
        <v>1800</v>
      </c>
      <c r="X68" s="38"/>
      <c r="Y68" s="208">
        <v>1800</v>
      </c>
      <c r="Z68" s="208"/>
      <c r="AA68" s="191" t="s">
        <v>223</v>
      </c>
      <c r="AB68" s="263">
        <f>4953+2700+1800</f>
        <v>9453</v>
      </c>
      <c r="AC68" s="12" t="s">
        <v>248</v>
      </c>
      <c r="AS68" s="11"/>
      <c r="BA68" s="240"/>
    </row>
    <row r="69" spans="2:53" s="12" customFormat="1" ht="39.75" customHeight="1" x14ac:dyDescent="0.3">
      <c r="B69" s="3">
        <f t="shared" si="41"/>
        <v>5</v>
      </c>
      <c r="C69" s="95" t="s">
        <v>105</v>
      </c>
      <c r="D69" s="5" t="s">
        <v>97</v>
      </c>
      <c r="E69" s="124"/>
      <c r="F69" s="124"/>
      <c r="G69" s="124"/>
      <c r="H69" s="124"/>
      <c r="I69" s="222"/>
      <c r="J69" s="124"/>
      <c r="K69" s="222" t="s">
        <v>103</v>
      </c>
      <c r="L69" s="222"/>
      <c r="M69" s="222" t="s">
        <v>80</v>
      </c>
      <c r="N69" s="13" t="s">
        <v>140</v>
      </c>
      <c r="O69" s="125">
        <v>3500</v>
      </c>
      <c r="P69" s="16">
        <v>3500</v>
      </c>
      <c r="Q69" s="126"/>
      <c r="R69" s="126"/>
      <c r="S69" s="125">
        <f>T69</f>
        <v>1500</v>
      </c>
      <c r="T69" s="125">
        <v>1500</v>
      </c>
      <c r="U69" s="126"/>
      <c r="V69" s="230">
        <f>W69</f>
        <v>500</v>
      </c>
      <c r="W69" s="230">
        <v>500</v>
      </c>
      <c r="X69" s="38"/>
      <c r="Y69" s="208">
        <v>553.4</v>
      </c>
      <c r="Z69" s="208">
        <f>+W69-Y69</f>
        <v>-53.399999999999977</v>
      </c>
      <c r="AA69" s="191" t="s">
        <v>260</v>
      </c>
      <c r="AB69" s="263"/>
      <c r="AS69" s="11"/>
      <c r="BA69" s="240"/>
    </row>
    <row r="70" spans="2:53" s="12" customFormat="1" ht="47.25" customHeight="1" x14ac:dyDescent="0.3">
      <c r="B70" s="3">
        <f t="shared" si="41"/>
        <v>6</v>
      </c>
      <c r="C70" s="58" t="s">
        <v>141</v>
      </c>
      <c r="D70" s="5" t="s">
        <v>97</v>
      </c>
      <c r="E70" s="6"/>
      <c r="F70" s="15"/>
      <c r="G70" s="6"/>
      <c r="H70" s="6"/>
      <c r="I70" s="6"/>
      <c r="J70" s="6"/>
      <c r="K70" s="6" t="s">
        <v>46</v>
      </c>
      <c r="L70" s="222"/>
      <c r="M70" s="222" t="s">
        <v>80</v>
      </c>
      <c r="N70" s="13" t="s">
        <v>147</v>
      </c>
      <c r="O70" s="125">
        <f>P70</f>
        <v>52000</v>
      </c>
      <c r="P70" s="125">
        <v>52000</v>
      </c>
      <c r="Q70" s="126"/>
      <c r="R70" s="126"/>
      <c r="S70" s="125">
        <f>T70</f>
        <v>52000</v>
      </c>
      <c r="T70" s="125">
        <v>52000</v>
      </c>
      <c r="U70" s="126"/>
      <c r="V70" s="230">
        <f>W70</f>
        <v>52000</v>
      </c>
      <c r="W70" s="230">
        <v>52000</v>
      </c>
      <c r="X70" s="38"/>
      <c r="Y70" s="208">
        <v>10000</v>
      </c>
      <c r="Z70" s="208">
        <v>10000</v>
      </c>
      <c r="AA70" s="191"/>
      <c r="AB70" s="263">
        <v>52000</v>
      </c>
      <c r="AC70" s="12" t="s">
        <v>249</v>
      </c>
      <c r="AS70" s="11"/>
      <c r="BA70" s="240"/>
    </row>
    <row r="71" spans="2:53" s="12" customFormat="1" ht="39.75" customHeight="1" x14ac:dyDescent="0.3">
      <c r="B71" s="3">
        <f t="shared" si="41"/>
        <v>7</v>
      </c>
      <c r="C71" s="58" t="s">
        <v>172</v>
      </c>
      <c r="D71" s="5" t="s">
        <v>97</v>
      </c>
      <c r="E71" s="6"/>
      <c r="F71" s="15"/>
      <c r="G71" s="6"/>
      <c r="H71" s="6"/>
      <c r="I71" s="6"/>
      <c r="J71" s="6"/>
      <c r="K71" s="6" t="s">
        <v>46</v>
      </c>
      <c r="L71" s="222"/>
      <c r="M71" s="222" t="s">
        <v>85</v>
      </c>
      <c r="N71" s="222" t="s">
        <v>180</v>
      </c>
      <c r="O71" s="74">
        <v>8500</v>
      </c>
      <c r="P71" s="17">
        <v>8500</v>
      </c>
      <c r="Q71" s="17"/>
      <c r="R71" s="17"/>
      <c r="S71" s="17"/>
      <c r="T71" s="17"/>
      <c r="U71" s="17"/>
      <c r="V71" s="230">
        <f>W71</f>
        <v>8500</v>
      </c>
      <c r="W71" s="230">
        <v>8500</v>
      </c>
      <c r="X71" s="17"/>
      <c r="Y71" s="208"/>
      <c r="Z71" s="208">
        <v>8500</v>
      </c>
      <c r="AA71" s="191"/>
      <c r="AB71" s="263">
        <v>8500</v>
      </c>
      <c r="AC71" s="12" t="s">
        <v>249</v>
      </c>
      <c r="AS71" s="11"/>
      <c r="BA71" s="240"/>
    </row>
    <row r="72" spans="2:53" s="12" customFormat="1" ht="54" customHeight="1" x14ac:dyDescent="0.3">
      <c r="B72" s="3">
        <f t="shared" si="41"/>
        <v>8</v>
      </c>
      <c r="C72" s="14" t="s">
        <v>187</v>
      </c>
      <c r="D72" s="5" t="s">
        <v>97</v>
      </c>
      <c r="E72" s="6"/>
      <c r="F72" s="15"/>
      <c r="G72" s="6"/>
      <c r="H72" s="6"/>
      <c r="I72" s="6"/>
      <c r="J72" s="6"/>
      <c r="K72" s="6" t="s">
        <v>42</v>
      </c>
      <c r="L72" s="222"/>
      <c r="M72" s="222" t="s">
        <v>80</v>
      </c>
      <c r="N72" s="13" t="s">
        <v>190</v>
      </c>
      <c r="O72" s="8">
        <v>318000</v>
      </c>
      <c r="P72" s="16">
        <v>76200</v>
      </c>
      <c r="Q72" s="17"/>
      <c r="R72" s="17"/>
      <c r="S72" s="17">
        <f>+T72</f>
        <v>76200</v>
      </c>
      <c r="T72" s="16">
        <v>76200</v>
      </c>
      <c r="U72" s="17"/>
      <c r="V72" s="230">
        <f>+W72</f>
        <v>63204</v>
      </c>
      <c r="W72" s="236">
        <f>63204</f>
        <v>63204</v>
      </c>
      <c r="X72" s="17"/>
      <c r="Y72" s="208"/>
      <c r="Z72" s="208">
        <v>20000</v>
      </c>
      <c r="AA72" s="191" t="s">
        <v>229</v>
      </c>
      <c r="AB72" s="263">
        <f>12996+63204</f>
        <v>76200</v>
      </c>
      <c r="AC72" s="12" t="s">
        <v>249</v>
      </c>
      <c r="AS72" s="11"/>
      <c r="BA72" s="240"/>
    </row>
    <row r="73" spans="2:53" s="12" customFormat="1" ht="48" customHeight="1" x14ac:dyDescent="0.3">
      <c r="B73" s="3">
        <f t="shared" si="41"/>
        <v>9</v>
      </c>
      <c r="C73" s="58" t="s">
        <v>181</v>
      </c>
      <c r="D73" s="5" t="s">
        <v>97</v>
      </c>
      <c r="E73" s="6"/>
      <c r="F73" s="15"/>
      <c r="G73" s="6"/>
      <c r="H73" s="6"/>
      <c r="I73" s="6"/>
      <c r="J73" s="6"/>
      <c r="K73" s="6" t="s">
        <v>42</v>
      </c>
      <c r="L73" s="222"/>
      <c r="M73" s="222" t="s">
        <v>129</v>
      </c>
      <c r="N73" s="222" t="s">
        <v>182</v>
      </c>
      <c r="O73" s="74">
        <v>77000</v>
      </c>
      <c r="P73" s="17">
        <v>7000</v>
      </c>
      <c r="Q73" s="17"/>
      <c r="R73" s="17"/>
      <c r="S73" s="17"/>
      <c r="T73" s="17"/>
      <c r="U73" s="17"/>
      <c r="V73" s="230">
        <f>W73</f>
        <v>7000</v>
      </c>
      <c r="W73" s="230">
        <v>7000</v>
      </c>
      <c r="X73" s="17"/>
      <c r="Y73" s="208"/>
      <c r="Z73" s="208"/>
      <c r="AA73" s="191" t="s">
        <v>246</v>
      </c>
      <c r="AB73" s="263">
        <v>7000</v>
      </c>
      <c r="AC73" s="12" t="s">
        <v>249</v>
      </c>
      <c r="AS73" s="11"/>
      <c r="BA73" s="240"/>
    </row>
    <row r="74" spans="2:53" s="12" customFormat="1" ht="38.25" customHeight="1" x14ac:dyDescent="0.3">
      <c r="B74" s="3">
        <f t="shared" si="41"/>
        <v>10</v>
      </c>
      <c r="C74" s="67" t="s">
        <v>102</v>
      </c>
      <c r="D74" s="5" t="s">
        <v>206</v>
      </c>
      <c r="E74" s="36"/>
      <c r="F74" s="37"/>
      <c r="G74" s="36"/>
      <c r="H74" s="36"/>
      <c r="I74" s="36"/>
      <c r="J74" s="36"/>
      <c r="K74" s="6" t="s">
        <v>103</v>
      </c>
      <c r="L74" s="35"/>
      <c r="M74" s="222" t="s">
        <v>85</v>
      </c>
      <c r="N74" s="59"/>
      <c r="O74" s="17">
        <f>P74</f>
        <v>6200</v>
      </c>
      <c r="P74" s="17">
        <v>6200</v>
      </c>
      <c r="Q74" s="38"/>
      <c r="R74" s="38"/>
      <c r="S74" s="17">
        <f>T74</f>
        <v>2000</v>
      </c>
      <c r="T74" s="17">
        <v>2000</v>
      </c>
      <c r="U74" s="38"/>
      <c r="V74" s="230">
        <f t="shared" ref="V74" si="43">W74</f>
        <v>3200</v>
      </c>
      <c r="W74" s="230">
        <v>3200</v>
      </c>
      <c r="X74" s="38"/>
      <c r="Y74" s="207"/>
      <c r="Z74" s="208">
        <v>3061</v>
      </c>
      <c r="AA74" s="191" t="s">
        <v>259</v>
      </c>
      <c r="AB74" s="263">
        <f>3139+3061</f>
        <v>6200</v>
      </c>
      <c r="AC74" s="12" t="s">
        <v>249</v>
      </c>
      <c r="AS74" s="11"/>
      <c r="BA74" s="240"/>
    </row>
    <row r="75" spans="2:53" s="12" customFormat="1" ht="38.25" customHeight="1" x14ac:dyDescent="0.3">
      <c r="B75" s="3">
        <v>11</v>
      </c>
      <c r="C75" s="67" t="s">
        <v>261</v>
      </c>
      <c r="D75" s="5"/>
      <c r="E75" s="36"/>
      <c r="F75" s="37"/>
      <c r="G75" s="36"/>
      <c r="H75" s="36"/>
      <c r="I75" s="36"/>
      <c r="J75" s="36"/>
      <c r="K75" s="6" t="s">
        <v>103</v>
      </c>
      <c r="L75" s="35"/>
      <c r="M75" s="222" t="s">
        <v>85</v>
      </c>
      <c r="N75" s="59"/>
      <c r="O75" s="17">
        <f>P75</f>
        <v>5700</v>
      </c>
      <c r="P75" s="17">
        <v>5700</v>
      </c>
      <c r="Q75" s="38"/>
      <c r="R75" s="38"/>
      <c r="S75" s="17">
        <f>T75</f>
        <v>2000</v>
      </c>
      <c r="T75" s="17">
        <v>2000</v>
      </c>
      <c r="U75" s="38"/>
      <c r="V75" s="230">
        <f t="shared" ref="V75" si="44">W75</f>
        <v>5700</v>
      </c>
      <c r="W75" s="230">
        <v>5700</v>
      </c>
      <c r="X75" s="38"/>
      <c r="Y75" s="207"/>
      <c r="Z75" s="208">
        <v>3061</v>
      </c>
      <c r="AA75" s="191"/>
      <c r="AB75" s="263"/>
      <c r="AS75" s="11"/>
      <c r="BA75" s="240"/>
    </row>
    <row r="76" spans="2:53" s="12" customFormat="1" hidden="1" x14ac:dyDescent="0.3">
      <c r="B76" s="3">
        <v>12</v>
      </c>
      <c r="C76" s="67" t="s">
        <v>262</v>
      </c>
      <c r="D76" s="5" t="s">
        <v>97</v>
      </c>
      <c r="E76" s="36"/>
      <c r="F76" s="37"/>
      <c r="G76" s="36"/>
      <c r="H76" s="36"/>
      <c r="I76" s="36"/>
      <c r="J76" s="36"/>
      <c r="K76" s="6" t="s">
        <v>84</v>
      </c>
      <c r="L76" s="35"/>
      <c r="M76" s="222" t="s">
        <v>85</v>
      </c>
      <c r="N76" s="59"/>
      <c r="O76" s="17"/>
      <c r="P76" s="17"/>
      <c r="Q76" s="38"/>
      <c r="R76" s="38"/>
      <c r="S76" s="17"/>
      <c r="T76" s="17"/>
      <c r="U76" s="38"/>
      <c r="V76" s="230"/>
      <c r="W76" s="230"/>
      <c r="X76" s="38"/>
      <c r="Y76" s="207"/>
      <c r="Z76" s="208"/>
      <c r="AA76" s="191"/>
      <c r="AB76" s="263"/>
      <c r="AS76" s="11"/>
      <c r="BA76" s="240"/>
    </row>
    <row r="77" spans="2:53" s="12" customFormat="1" hidden="1" x14ac:dyDescent="0.3">
      <c r="B77" s="3">
        <v>13</v>
      </c>
      <c r="C77" s="67" t="s">
        <v>263</v>
      </c>
      <c r="D77" s="5" t="s">
        <v>97</v>
      </c>
      <c r="E77" s="36"/>
      <c r="F77" s="37"/>
      <c r="G77" s="36"/>
      <c r="H77" s="36"/>
      <c r="I77" s="36"/>
      <c r="J77" s="36"/>
      <c r="K77" s="6" t="s">
        <v>93</v>
      </c>
      <c r="L77" s="35"/>
      <c r="M77" s="222" t="s">
        <v>85</v>
      </c>
      <c r="N77" s="59"/>
      <c r="O77" s="17"/>
      <c r="P77" s="17"/>
      <c r="Q77" s="38"/>
      <c r="R77" s="38"/>
      <c r="S77" s="17"/>
      <c r="T77" s="17"/>
      <c r="U77" s="38"/>
      <c r="V77" s="230"/>
      <c r="W77" s="230"/>
      <c r="X77" s="38"/>
      <c r="Y77" s="207"/>
      <c r="Z77" s="208"/>
      <c r="AA77" s="191"/>
      <c r="AB77" s="263"/>
      <c r="AS77" s="11"/>
      <c r="BA77" s="240"/>
    </row>
    <row r="78" spans="2:53" s="12" customFormat="1" ht="27" hidden="1" customHeight="1" x14ac:dyDescent="0.3">
      <c r="B78" s="3">
        <v>14</v>
      </c>
      <c r="C78" s="67" t="s">
        <v>264</v>
      </c>
      <c r="D78" s="5" t="s">
        <v>97</v>
      </c>
      <c r="E78" s="36"/>
      <c r="F78" s="37"/>
      <c r="G78" s="36"/>
      <c r="H78" s="36"/>
      <c r="I78" s="36"/>
      <c r="J78" s="36"/>
      <c r="K78" s="222" t="s">
        <v>81</v>
      </c>
      <c r="L78" s="35"/>
      <c r="M78" s="222" t="s">
        <v>85</v>
      </c>
      <c r="N78" s="59"/>
      <c r="O78" s="17"/>
      <c r="P78" s="17"/>
      <c r="Q78" s="38"/>
      <c r="R78" s="38"/>
      <c r="S78" s="17"/>
      <c r="T78" s="17"/>
      <c r="U78" s="38"/>
      <c r="V78" s="230"/>
      <c r="W78" s="230"/>
      <c r="X78" s="38"/>
      <c r="Y78" s="207"/>
      <c r="Z78" s="208"/>
      <c r="AA78" s="191"/>
      <c r="AB78" s="263"/>
      <c r="AS78" s="11"/>
      <c r="BA78" s="240"/>
    </row>
    <row r="79" spans="2:53" s="12" customFormat="1" hidden="1" x14ac:dyDescent="0.3">
      <c r="B79" s="3">
        <v>15</v>
      </c>
      <c r="C79" s="67" t="s">
        <v>265</v>
      </c>
      <c r="D79" s="5" t="s">
        <v>97</v>
      </c>
      <c r="E79" s="36"/>
      <c r="F79" s="37"/>
      <c r="G79" s="36"/>
      <c r="H79" s="36"/>
      <c r="I79" s="36"/>
      <c r="J79" s="36"/>
      <c r="K79" s="6" t="s">
        <v>92</v>
      </c>
      <c r="L79" s="35"/>
      <c r="M79" s="222" t="s">
        <v>129</v>
      </c>
      <c r="N79" s="59"/>
      <c r="O79" s="17"/>
      <c r="P79" s="17"/>
      <c r="Q79" s="38"/>
      <c r="R79" s="38"/>
      <c r="S79" s="17"/>
      <c r="T79" s="17"/>
      <c r="U79" s="38"/>
      <c r="V79" s="230"/>
      <c r="W79" s="230"/>
      <c r="X79" s="38"/>
      <c r="Y79" s="207"/>
      <c r="Z79" s="208"/>
      <c r="AA79" s="191"/>
      <c r="AB79" s="263"/>
      <c r="AS79" s="11"/>
      <c r="BA79" s="240"/>
    </row>
    <row r="80" spans="2:53" s="12" customFormat="1" x14ac:dyDescent="0.3">
      <c r="B80" s="46" t="s">
        <v>54</v>
      </c>
      <c r="C80" s="47" t="s">
        <v>77</v>
      </c>
      <c r="D80" s="48"/>
      <c r="E80" s="48"/>
      <c r="F80" s="49"/>
      <c r="G80" s="48"/>
      <c r="H80" s="48"/>
      <c r="I80" s="48"/>
      <c r="J80" s="48"/>
      <c r="K80" s="48"/>
      <c r="L80" s="48"/>
      <c r="M80" s="48"/>
      <c r="N80" s="48"/>
      <c r="O80" s="71"/>
      <c r="P80" s="51"/>
      <c r="Q80" s="51">
        <v>0</v>
      </c>
      <c r="R80" s="51">
        <v>0</v>
      </c>
      <c r="S80" s="51"/>
      <c r="T80" s="51"/>
      <c r="U80" s="51"/>
      <c r="V80" s="174"/>
      <c r="W80" s="174">
        <v>0</v>
      </c>
      <c r="X80" s="51">
        <v>0</v>
      </c>
      <c r="Y80" s="165">
        <v>0</v>
      </c>
      <c r="Z80" s="165"/>
      <c r="AA80" s="192"/>
      <c r="AB80" s="263"/>
      <c r="AS80" s="11"/>
      <c r="BA80" s="240"/>
    </row>
    <row r="81" spans="2:53" s="100" customFormat="1" ht="60" customHeight="1" x14ac:dyDescent="0.3">
      <c r="B81" s="46" t="s">
        <v>123</v>
      </c>
      <c r="C81" s="47" t="s">
        <v>122</v>
      </c>
      <c r="D81" s="48"/>
      <c r="E81" s="48"/>
      <c r="F81" s="49"/>
      <c r="G81" s="48"/>
      <c r="H81" s="48"/>
      <c r="I81" s="48"/>
      <c r="J81" s="48"/>
      <c r="K81" s="48"/>
      <c r="L81" s="48"/>
      <c r="M81" s="48"/>
      <c r="N81" s="48">
        <f>SUM(N82:N91)</f>
        <v>0</v>
      </c>
      <c r="O81" s="71">
        <f>SUM(O82:O91)</f>
        <v>34360</v>
      </c>
      <c r="P81" s="71">
        <f t="shared" ref="P81:U81" si="45">SUM(P82:P91)</f>
        <v>34360</v>
      </c>
      <c r="Q81" s="71">
        <f t="shared" si="45"/>
        <v>0</v>
      </c>
      <c r="R81" s="71">
        <f t="shared" si="45"/>
        <v>0</v>
      </c>
      <c r="S81" s="71">
        <f t="shared" si="45"/>
        <v>0</v>
      </c>
      <c r="T81" s="71">
        <f t="shared" si="45"/>
        <v>0</v>
      </c>
      <c r="U81" s="71">
        <f t="shared" si="45"/>
        <v>0</v>
      </c>
      <c r="V81" s="237">
        <f t="shared" ref="V81:Y81" si="46">SUM(V82:V91)</f>
        <v>34360</v>
      </c>
      <c r="W81" s="238">
        <f t="shared" si="46"/>
        <v>34360</v>
      </c>
      <c r="X81" s="188">
        <f t="shared" si="46"/>
        <v>0</v>
      </c>
      <c r="Y81" s="211">
        <f t="shared" si="46"/>
        <v>3500</v>
      </c>
      <c r="Z81" s="211">
        <f>SUM(Z82:Z91)</f>
        <v>8140</v>
      </c>
      <c r="AA81" s="192"/>
      <c r="AB81" s="265"/>
      <c r="AS81" s="27"/>
      <c r="BA81" s="241"/>
    </row>
    <row r="82" spans="2:53" s="12" customFormat="1" ht="32.25" customHeight="1" x14ac:dyDescent="0.3">
      <c r="B82" s="66"/>
      <c r="C82" s="67" t="s">
        <v>124</v>
      </c>
      <c r="D82" s="222" t="s">
        <v>195</v>
      </c>
      <c r="E82" s="222"/>
      <c r="F82" s="58"/>
      <c r="G82" s="222"/>
      <c r="H82" s="222"/>
      <c r="I82" s="222"/>
      <c r="J82" s="222"/>
      <c r="K82" s="222" t="s">
        <v>124</v>
      </c>
      <c r="L82" s="222"/>
      <c r="M82" s="222"/>
      <c r="N82" s="222"/>
      <c r="O82" s="74">
        <f>+P82</f>
        <v>23400</v>
      </c>
      <c r="P82" s="17">
        <v>23400</v>
      </c>
      <c r="Q82" s="17"/>
      <c r="R82" s="17"/>
      <c r="S82" s="17"/>
      <c r="T82" s="17"/>
      <c r="U82" s="17"/>
      <c r="V82" s="230">
        <f t="shared" ref="V82:V92" si="47">+W82</f>
        <v>23400</v>
      </c>
      <c r="W82" s="230">
        <f t="shared" ref="W82:W91" si="48">+P82</f>
        <v>23400</v>
      </c>
      <c r="X82" s="17"/>
      <c r="Y82" s="208">
        <v>3330</v>
      </c>
      <c r="Z82" s="208">
        <v>3000</v>
      </c>
      <c r="AA82" s="191"/>
      <c r="AB82" s="263"/>
      <c r="AD82" s="88"/>
      <c r="AF82" s="88"/>
      <c r="AS82" s="11"/>
      <c r="BA82" s="240"/>
    </row>
    <row r="83" spans="2:53" s="12" customFormat="1" ht="31.5" customHeight="1" x14ac:dyDescent="0.3">
      <c r="B83" s="66"/>
      <c r="C83" s="67" t="s">
        <v>64</v>
      </c>
      <c r="D83" s="222" t="s">
        <v>188</v>
      </c>
      <c r="E83" s="222"/>
      <c r="F83" s="58"/>
      <c r="G83" s="222"/>
      <c r="H83" s="222"/>
      <c r="I83" s="222"/>
      <c r="J83" s="222"/>
      <c r="K83" s="222" t="s">
        <v>64</v>
      </c>
      <c r="L83" s="222"/>
      <c r="M83" s="222"/>
      <c r="N83" s="222"/>
      <c r="O83" s="74">
        <f>+P83</f>
        <v>50</v>
      </c>
      <c r="P83" s="17">
        <v>50</v>
      </c>
      <c r="Q83" s="17"/>
      <c r="R83" s="17"/>
      <c r="S83" s="17"/>
      <c r="T83" s="17"/>
      <c r="U83" s="17"/>
      <c r="V83" s="230">
        <f t="shared" si="47"/>
        <v>50</v>
      </c>
      <c r="W83" s="230">
        <f t="shared" si="48"/>
        <v>50</v>
      </c>
      <c r="X83" s="17"/>
      <c r="Y83" s="208">
        <v>20</v>
      </c>
      <c r="Z83" s="208">
        <v>10</v>
      </c>
      <c r="AA83" s="191"/>
      <c r="AB83" s="263"/>
      <c r="AS83" s="11"/>
      <c r="BA83" s="240"/>
    </row>
    <row r="84" spans="2:53" s="12" customFormat="1" ht="35.25" customHeight="1" x14ac:dyDescent="0.3">
      <c r="B84" s="66"/>
      <c r="C84" s="67" t="s">
        <v>84</v>
      </c>
      <c r="D84" s="222" t="s">
        <v>196</v>
      </c>
      <c r="E84" s="222"/>
      <c r="F84" s="58"/>
      <c r="G84" s="222"/>
      <c r="H84" s="222"/>
      <c r="I84" s="222"/>
      <c r="J84" s="222"/>
      <c r="K84" s="222" t="s">
        <v>84</v>
      </c>
      <c r="L84" s="222"/>
      <c r="M84" s="222"/>
      <c r="N84" s="222"/>
      <c r="O84" s="74">
        <f t="shared" ref="O84:O91" si="49">+P84</f>
        <v>100</v>
      </c>
      <c r="P84" s="17">
        <v>100</v>
      </c>
      <c r="Q84" s="17"/>
      <c r="R84" s="17"/>
      <c r="S84" s="17"/>
      <c r="T84" s="17"/>
      <c r="U84" s="17"/>
      <c r="V84" s="230">
        <f t="shared" si="47"/>
        <v>100</v>
      </c>
      <c r="W84" s="230">
        <f t="shared" si="48"/>
        <v>100</v>
      </c>
      <c r="X84" s="17"/>
      <c r="Y84" s="208">
        <v>20</v>
      </c>
      <c r="Z84" s="208">
        <v>20</v>
      </c>
      <c r="AA84" s="191"/>
      <c r="AB84" s="263"/>
      <c r="AS84" s="11"/>
      <c r="BA84" s="240"/>
    </row>
    <row r="85" spans="2:53" s="12" customFormat="1" ht="25.5" x14ac:dyDescent="0.3">
      <c r="B85" s="66"/>
      <c r="C85" s="67" t="s">
        <v>82</v>
      </c>
      <c r="D85" s="222" t="s">
        <v>192</v>
      </c>
      <c r="E85" s="222"/>
      <c r="F85" s="58"/>
      <c r="G85" s="222"/>
      <c r="H85" s="222"/>
      <c r="I85" s="222"/>
      <c r="J85" s="222"/>
      <c r="K85" s="222" t="s">
        <v>82</v>
      </c>
      <c r="L85" s="222"/>
      <c r="M85" s="222"/>
      <c r="N85" s="222"/>
      <c r="O85" s="74">
        <f t="shared" si="49"/>
        <v>50</v>
      </c>
      <c r="P85" s="17">
        <v>50</v>
      </c>
      <c r="Q85" s="17"/>
      <c r="R85" s="17"/>
      <c r="S85" s="17"/>
      <c r="T85" s="17"/>
      <c r="U85" s="17"/>
      <c r="V85" s="230">
        <f t="shared" si="47"/>
        <v>50</v>
      </c>
      <c r="W85" s="230">
        <f t="shared" si="48"/>
        <v>50</v>
      </c>
      <c r="X85" s="17"/>
      <c r="Y85" s="208">
        <v>20</v>
      </c>
      <c r="Z85" s="208">
        <v>10</v>
      </c>
      <c r="AA85" s="191"/>
      <c r="AB85" s="263"/>
      <c r="AS85" s="11"/>
      <c r="BA85" s="240"/>
    </row>
    <row r="86" spans="2:53" s="12" customFormat="1" ht="31.5" customHeight="1" x14ac:dyDescent="0.3">
      <c r="B86" s="66"/>
      <c r="C86" s="67" t="s">
        <v>90</v>
      </c>
      <c r="D86" s="222" t="s">
        <v>189</v>
      </c>
      <c r="E86" s="222"/>
      <c r="F86" s="58"/>
      <c r="G86" s="222"/>
      <c r="H86" s="222"/>
      <c r="I86" s="222"/>
      <c r="J86" s="222"/>
      <c r="K86" s="222" t="s">
        <v>90</v>
      </c>
      <c r="L86" s="222"/>
      <c r="M86" s="222"/>
      <c r="N86" s="222"/>
      <c r="O86" s="74">
        <f t="shared" si="49"/>
        <v>50</v>
      </c>
      <c r="P86" s="17">
        <v>50</v>
      </c>
      <c r="Q86" s="17"/>
      <c r="R86" s="17"/>
      <c r="S86" s="17"/>
      <c r="T86" s="17"/>
      <c r="U86" s="17"/>
      <c r="V86" s="230">
        <f t="shared" si="47"/>
        <v>50</v>
      </c>
      <c r="W86" s="230">
        <f t="shared" si="48"/>
        <v>50</v>
      </c>
      <c r="X86" s="17"/>
      <c r="Y86" s="208">
        <v>20</v>
      </c>
      <c r="Z86" s="208">
        <v>10</v>
      </c>
      <c r="AA86" s="191"/>
      <c r="AB86" s="263"/>
      <c r="AS86" s="11"/>
      <c r="BA86" s="240"/>
    </row>
    <row r="87" spans="2:53" s="12" customFormat="1" ht="33" customHeight="1" x14ac:dyDescent="0.3">
      <c r="B87" s="66"/>
      <c r="C87" s="67" t="s">
        <v>92</v>
      </c>
      <c r="D87" s="222" t="s">
        <v>251</v>
      </c>
      <c r="E87" s="222"/>
      <c r="F87" s="58"/>
      <c r="G87" s="222"/>
      <c r="H87" s="222"/>
      <c r="I87" s="222"/>
      <c r="J87" s="222"/>
      <c r="K87" s="222" t="s">
        <v>92</v>
      </c>
      <c r="L87" s="222"/>
      <c r="M87" s="222"/>
      <c r="N87" s="222"/>
      <c r="O87" s="74">
        <f t="shared" si="49"/>
        <v>85</v>
      </c>
      <c r="P87" s="17">
        <v>85</v>
      </c>
      <c r="Q87" s="17"/>
      <c r="R87" s="17"/>
      <c r="S87" s="17"/>
      <c r="T87" s="17"/>
      <c r="U87" s="17"/>
      <c r="V87" s="230">
        <f t="shared" si="47"/>
        <v>85</v>
      </c>
      <c r="W87" s="230">
        <f t="shared" si="48"/>
        <v>85</v>
      </c>
      <c r="X87" s="17"/>
      <c r="Y87" s="208">
        <v>10</v>
      </c>
      <c r="Z87" s="208">
        <v>65</v>
      </c>
      <c r="AA87" s="191"/>
      <c r="AB87" s="263"/>
      <c r="AS87" s="11"/>
      <c r="BA87" s="240"/>
    </row>
    <row r="88" spans="2:53" s="12" customFormat="1" ht="33" customHeight="1" x14ac:dyDescent="0.3">
      <c r="B88" s="66"/>
      <c r="C88" s="67" t="s">
        <v>125</v>
      </c>
      <c r="D88" s="222" t="s">
        <v>197</v>
      </c>
      <c r="E88" s="222"/>
      <c r="F88" s="58"/>
      <c r="G88" s="222"/>
      <c r="H88" s="222"/>
      <c r="I88" s="222"/>
      <c r="J88" s="222"/>
      <c r="K88" s="222" t="s">
        <v>125</v>
      </c>
      <c r="L88" s="222"/>
      <c r="M88" s="222"/>
      <c r="N88" s="222"/>
      <c r="O88" s="74">
        <f t="shared" si="49"/>
        <v>50</v>
      </c>
      <c r="P88" s="17">
        <v>50</v>
      </c>
      <c r="Q88" s="17"/>
      <c r="R88" s="17"/>
      <c r="S88" s="17"/>
      <c r="T88" s="17"/>
      <c r="U88" s="17"/>
      <c r="V88" s="230">
        <f t="shared" si="47"/>
        <v>50</v>
      </c>
      <c r="W88" s="230">
        <f t="shared" si="48"/>
        <v>50</v>
      </c>
      <c r="X88" s="17"/>
      <c r="Y88" s="208">
        <v>20</v>
      </c>
      <c r="Z88" s="208">
        <v>10</v>
      </c>
      <c r="AA88" s="191"/>
      <c r="AB88" s="263"/>
      <c r="AS88" s="11"/>
      <c r="BA88" s="240"/>
    </row>
    <row r="89" spans="2:53" s="12" customFormat="1" ht="31.5" customHeight="1" x14ac:dyDescent="0.3">
      <c r="B89" s="66"/>
      <c r="C89" s="67" t="s">
        <v>94</v>
      </c>
      <c r="D89" s="222" t="s">
        <v>198</v>
      </c>
      <c r="E89" s="222"/>
      <c r="F89" s="58"/>
      <c r="G89" s="222"/>
      <c r="H89" s="222"/>
      <c r="I89" s="222"/>
      <c r="J89" s="222"/>
      <c r="K89" s="222" t="s">
        <v>94</v>
      </c>
      <c r="L89" s="222"/>
      <c r="M89" s="222"/>
      <c r="N89" s="222"/>
      <c r="O89" s="74">
        <f t="shared" si="49"/>
        <v>25</v>
      </c>
      <c r="P89" s="17">
        <v>25</v>
      </c>
      <c r="Q89" s="17"/>
      <c r="R89" s="17"/>
      <c r="S89" s="17"/>
      <c r="T89" s="17"/>
      <c r="U89" s="17"/>
      <c r="V89" s="230">
        <f t="shared" si="47"/>
        <v>25</v>
      </c>
      <c r="W89" s="230">
        <f t="shared" si="48"/>
        <v>25</v>
      </c>
      <c r="X89" s="17"/>
      <c r="Y89" s="208">
        <v>20</v>
      </c>
      <c r="Z89" s="208">
        <v>5</v>
      </c>
      <c r="AA89" s="191"/>
      <c r="AB89" s="263"/>
      <c r="AS89" s="11"/>
      <c r="BA89" s="240"/>
    </row>
    <row r="90" spans="2:53" s="12" customFormat="1" ht="27.75" customHeight="1" x14ac:dyDescent="0.3">
      <c r="B90" s="66"/>
      <c r="C90" s="67" t="s">
        <v>95</v>
      </c>
      <c r="D90" s="222" t="s">
        <v>199</v>
      </c>
      <c r="E90" s="222"/>
      <c r="F90" s="58"/>
      <c r="G90" s="222"/>
      <c r="H90" s="222"/>
      <c r="I90" s="222"/>
      <c r="J90" s="222"/>
      <c r="K90" s="222" t="s">
        <v>95</v>
      </c>
      <c r="L90" s="222"/>
      <c r="M90" s="222"/>
      <c r="N90" s="222"/>
      <c r="O90" s="74">
        <f t="shared" si="49"/>
        <v>10500</v>
      </c>
      <c r="P90" s="17">
        <v>10500</v>
      </c>
      <c r="Q90" s="17"/>
      <c r="R90" s="17"/>
      <c r="S90" s="17"/>
      <c r="T90" s="17"/>
      <c r="U90" s="17"/>
      <c r="V90" s="230">
        <f t="shared" si="47"/>
        <v>10500</v>
      </c>
      <c r="W90" s="230">
        <f t="shared" si="48"/>
        <v>10500</v>
      </c>
      <c r="X90" s="17"/>
      <c r="Y90" s="208">
        <v>20</v>
      </c>
      <c r="Z90" s="208">
        <v>5000</v>
      </c>
      <c r="AA90" s="191"/>
      <c r="AB90" s="263"/>
      <c r="AS90" s="11"/>
      <c r="BA90" s="240"/>
    </row>
    <row r="91" spans="2:53" s="12" customFormat="1" ht="30.75" customHeight="1" x14ac:dyDescent="0.3">
      <c r="B91" s="66"/>
      <c r="C91" s="67" t="s">
        <v>81</v>
      </c>
      <c r="D91" s="222" t="s">
        <v>200</v>
      </c>
      <c r="E91" s="222"/>
      <c r="F91" s="58"/>
      <c r="G91" s="222"/>
      <c r="H91" s="222"/>
      <c r="I91" s="222"/>
      <c r="J91" s="222"/>
      <c r="K91" s="222" t="s">
        <v>81</v>
      </c>
      <c r="L91" s="222"/>
      <c r="M91" s="222"/>
      <c r="N91" s="222"/>
      <c r="O91" s="74">
        <f t="shared" si="49"/>
        <v>50</v>
      </c>
      <c r="P91" s="17">
        <v>50</v>
      </c>
      <c r="Q91" s="17"/>
      <c r="R91" s="17"/>
      <c r="S91" s="17"/>
      <c r="T91" s="17"/>
      <c r="U91" s="17"/>
      <c r="V91" s="230">
        <f t="shared" si="47"/>
        <v>50</v>
      </c>
      <c r="W91" s="230">
        <f t="shared" si="48"/>
        <v>50</v>
      </c>
      <c r="X91" s="17"/>
      <c r="Y91" s="208">
        <v>20</v>
      </c>
      <c r="Z91" s="208">
        <v>10</v>
      </c>
      <c r="AA91" s="191"/>
      <c r="AB91" s="263"/>
      <c r="AS91" s="11"/>
      <c r="BA91" s="240"/>
    </row>
    <row r="92" spans="2:53" s="100" customFormat="1" ht="25.5" customHeight="1" x14ac:dyDescent="0.3">
      <c r="B92" s="46" t="s">
        <v>127</v>
      </c>
      <c r="C92" s="47" t="s">
        <v>126</v>
      </c>
      <c r="D92" s="48"/>
      <c r="E92" s="48"/>
      <c r="F92" s="49"/>
      <c r="G92" s="48"/>
      <c r="H92" s="48"/>
      <c r="I92" s="48"/>
      <c r="J92" s="48"/>
      <c r="K92" s="48"/>
      <c r="L92" s="48"/>
      <c r="M92" s="48" t="s">
        <v>80</v>
      </c>
      <c r="N92" s="48"/>
      <c r="O92" s="71">
        <v>16000</v>
      </c>
      <c r="P92" s="51">
        <v>16000</v>
      </c>
      <c r="Q92" s="51"/>
      <c r="R92" s="51"/>
      <c r="S92" s="51">
        <v>5000</v>
      </c>
      <c r="T92" s="51">
        <v>5000</v>
      </c>
      <c r="U92" s="51"/>
      <c r="V92" s="174">
        <f t="shared" si="47"/>
        <v>16000</v>
      </c>
      <c r="W92" s="174">
        <v>16000</v>
      </c>
      <c r="X92" s="51"/>
      <c r="Y92" s="210">
        <v>2000</v>
      </c>
      <c r="Z92" s="210">
        <v>3500</v>
      </c>
      <c r="AA92" s="192"/>
      <c r="AB92" s="265"/>
      <c r="AS92" s="27"/>
      <c r="BA92" s="241"/>
    </row>
    <row r="93" spans="2:53" s="12" customFormat="1" ht="24.75" customHeight="1" x14ac:dyDescent="0.3">
      <c r="B93" s="34" t="s">
        <v>52</v>
      </c>
      <c r="C93" s="43" t="s">
        <v>55</v>
      </c>
      <c r="D93" s="35"/>
      <c r="E93" s="35"/>
      <c r="F93" s="40"/>
      <c r="G93" s="35"/>
      <c r="H93" s="35"/>
      <c r="I93" s="35"/>
      <c r="J93" s="35"/>
      <c r="K93" s="35"/>
      <c r="L93" s="35"/>
      <c r="M93" s="35"/>
      <c r="N93" s="44"/>
      <c r="O93" s="69"/>
      <c r="P93" s="38"/>
      <c r="Q93" s="38">
        <v>0</v>
      </c>
      <c r="R93" s="38">
        <v>0</v>
      </c>
      <c r="S93" s="38"/>
      <c r="T93" s="38"/>
      <c r="U93" s="38"/>
      <c r="V93" s="233">
        <v>0</v>
      </c>
      <c r="W93" s="233">
        <v>0</v>
      </c>
      <c r="X93" s="38"/>
      <c r="Y93" s="207"/>
      <c r="Z93" s="207"/>
      <c r="AA93" s="191"/>
      <c r="AB93" s="263"/>
      <c r="AS93" s="11"/>
      <c r="BA93" s="240"/>
    </row>
    <row r="94" spans="2:53" ht="45" customHeight="1" x14ac:dyDescent="0.3">
      <c r="B94" s="258" t="s">
        <v>13</v>
      </c>
      <c r="C94" s="259" t="s">
        <v>119</v>
      </c>
      <c r="D94" s="222"/>
      <c r="E94" s="6"/>
      <c r="F94" s="15"/>
      <c r="G94" s="6"/>
      <c r="H94" s="6"/>
      <c r="I94" s="6"/>
      <c r="J94" s="6"/>
      <c r="K94" s="6"/>
      <c r="L94" s="222"/>
      <c r="M94" s="222"/>
      <c r="N94" s="222"/>
      <c r="O94" s="69">
        <f>O95+O121</f>
        <v>41000</v>
      </c>
      <c r="P94" s="69">
        <f>P95+P120</f>
        <v>41000</v>
      </c>
      <c r="Q94" s="17"/>
      <c r="R94" s="17"/>
      <c r="S94" s="69">
        <f>S95+S120</f>
        <v>7986</v>
      </c>
      <c r="T94" s="69">
        <f>T95+T120</f>
        <v>7986</v>
      </c>
      <c r="U94" s="17"/>
      <c r="V94" s="225">
        <f>V95+V120</f>
        <v>3845</v>
      </c>
      <c r="W94" s="225">
        <f>W95+W120</f>
        <v>3845</v>
      </c>
      <c r="X94" s="185">
        <f t="shared" ref="X94:Y94" si="50">X95+X120</f>
        <v>0</v>
      </c>
      <c r="Y94" s="207">
        <f t="shared" si="50"/>
        <v>770</v>
      </c>
      <c r="Z94" s="207">
        <f t="shared" ref="Z94" si="51">Z95+Z120</f>
        <v>770</v>
      </c>
      <c r="AA94" s="260"/>
    </row>
    <row r="95" spans="2:53" x14ac:dyDescent="0.3">
      <c r="B95" s="34" t="s">
        <v>38</v>
      </c>
      <c r="C95" s="43" t="s">
        <v>4</v>
      </c>
      <c r="D95" s="35"/>
      <c r="E95" s="35"/>
      <c r="F95" s="40"/>
      <c r="G95" s="35"/>
      <c r="H95" s="35"/>
      <c r="I95" s="35"/>
      <c r="J95" s="35"/>
      <c r="K95" s="35"/>
      <c r="L95" s="35"/>
      <c r="M95" s="35"/>
      <c r="N95" s="44"/>
      <c r="O95" s="69">
        <f>O96+O97</f>
        <v>41000</v>
      </c>
      <c r="P95" s="38">
        <f t="shared" ref="P95" si="52">P96+P97</f>
        <v>41000</v>
      </c>
      <c r="Q95" s="38"/>
      <c r="R95" s="38"/>
      <c r="S95" s="38">
        <f t="shared" ref="S95:U95" si="53">S96+S97</f>
        <v>7986</v>
      </c>
      <c r="T95" s="38">
        <f t="shared" si="53"/>
        <v>7986</v>
      </c>
      <c r="U95" s="38">
        <f t="shared" si="53"/>
        <v>0</v>
      </c>
      <c r="V95" s="225">
        <f t="shared" ref="V95" si="54">V96+V97</f>
        <v>3845</v>
      </c>
      <c r="W95" s="225">
        <f>W96+W97</f>
        <v>3845</v>
      </c>
      <c r="X95" s="185">
        <f t="shared" ref="X95:Y95" si="55">X96+X97</f>
        <v>0</v>
      </c>
      <c r="Y95" s="207">
        <f t="shared" si="55"/>
        <v>770</v>
      </c>
      <c r="Z95" s="207">
        <f t="shared" ref="Z95" si="56">Z96+Z97</f>
        <v>770</v>
      </c>
      <c r="AA95" s="190"/>
    </row>
    <row r="96" spans="2:53" ht="31.5" customHeight="1" x14ac:dyDescent="0.3">
      <c r="B96" s="34" t="s">
        <v>39</v>
      </c>
      <c r="C96" s="43" t="s">
        <v>76</v>
      </c>
      <c r="D96" s="35"/>
      <c r="E96" s="35"/>
      <c r="F96" s="40"/>
      <c r="G96" s="35"/>
      <c r="H96" s="35"/>
      <c r="I96" s="35"/>
      <c r="J96" s="35"/>
      <c r="K96" s="35"/>
      <c r="L96" s="35"/>
      <c r="M96" s="35"/>
      <c r="N96" s="44"/>
      <c r="O96" s="69"/>
      <c r="P96" s="38"/>
      <c r="Q96" s="38">
        <v>0</v>
      </c>
      <c r="R96" s="38">
        <v>0</v>
      </c>
      <c r="S96" s="38"/>
      <c r="T96" s="38"/>
      <c r="U96" s="38"/>
      <c r="V96" s="233"/>
      <c r="W96" s="233"/>
      <c r="X96" s="38"/>
      <c r="Y96" s="162"/>
      <c r="Z96" s="162"/>
      <c r="AA96" s="190"/>
    </row>
    <row r="97" spans="2:45" x14ac:dyDescent="0.3">
      <c r="B97" s="34" t="s">
        <v>40</v>
      </c>
      <c r="C97" s="43" t="s">
        <v>89</v>
      </c>
      <c r="D97" s="35"/>
      <c r="E97" s="35"/>
      <c r="F97" s="40"/>
      <c r="G97" s="35"/>
      <c r="H97" s="35"/>
      <c r="I97" s="35"/>
      <c r="J97" s="35"/>
      <c r="K97" s="35"/>
      <c r="L97" s="35"/>
      <c r="M97" s="35"/>
      <c r="N97" s="44"/>
      <c r="O97" s="69">
        <f>O98+O120</f>
        <v>41000</v>
      </c>
      <c r="P97" s="69">
        <f>P98+P120</f>
        <v>41000</v>
      </c>
      <c r="Q97" s="38"/>
      <c r="R97" s="38"/>
      <c r="S97" s="69">
        <f>S98+S120</f>
        <v>7986</v>
      </c>
      <c r="T97" s="69">
        <f>T98+T120</f>
        <v>7986</v>
      </c>
      <c r="U97" s="38">
        <f t="shared" ref="U97" si="57">U98</f>
        <v>0</v>
      </c>
      <c r="V97" s="225">
        <f>V98+V120</f>
        <v>3845</v>
      </c>
      <c r="W97" s="225">
        <f>W98+W120</f>
        <v>3845</v>
      </c>
      <c r="X97" s="185">
        <f t="shared" ref="X97:Z97" si="58">X98+X120</f>
        <v>0</v>
      </c>
      <c r="Y97" s="207">
        <f t="shared" si="58"/>
        <v>770</v>
      </c>
      <c r="Z97" s="207">
        <f t="shared" si="58"/>
        <v>770</v>
      </c>
      <c r="AA97" s="190"/>
    </row>
    <row r="98" spans="2:45" ht="30" customHeight="1" x14ac:dyDescent="0.3">
      <c r="B98" s="46" t="s">
        <v>41</v>
      </c>
      <c r="C98" s="47" t="s">
        <v>99</v>
      </c>
      <c r="D98" s="48"/>
      <c r="E98" s="48"/>
      <c r="F98" s="49"/>
      <c r="G98" s="48"/>
      <c r="H98" s="48"/>
      <c r="I98" s="48"/>
      <c r="J98" s="48"/>
      <c r="K98" s="48"/>
      <c r="L98" s="48"/>
      <c r="M98" s="48"/>
      <c r="N98" s="52"/>
      <c r="O98" s="72">
        <f>SUM(O99:O118)-O106</f>
        <v>41000</v>
      </c>
      <c r="P98" s="72">
        <f>SUM(P99:P118)-P106</f>
        <v>41000</v>
      </c>
      <c r="Q98" s="51">
        <f t="shared" ref="Q98:U98" si="59">SUM(Q99:Q118)</f>
        <v>0</v>
      </c>
      <c r="R98" s="51">
        <f t="shared" si="59"/>
        <v>0</v>
      </c>
      <c r="S98" s="72">
        <f>SUM(S99:S118)-S106</f>
        <v>7986</v>
      </c>
      <c r="T98" s="72">
        <f>SUM(T99:T118)-T106</f>
        <v>7986</v>
      </c>
      <c r="U98" s="51">
        <f t="shared" si="59"/>
        <v>0</v>
      </c>
      <c r="V98" s="239">
        <f>SUM(V99,V101,V103,V106,V108,V110,V112,V114,V116,V118)</f>
        <v>3845</v>
      </c>
      <c r="W98" s="239">
        <f>SUM(W99,W101,W103,W106,W108,W110,W112,W114,W116,W118)</f>
        <v>3845</v>
      </c>
      <c r="X98" s="51">
        <f t="shared" ref="X98" si="60">X99</f>
        <v>0</v>
      </c>
      <c r="Y98" s="210">
        <f>SUM(Y99,Y101,Y103,Y106,Y108,Y110,Y112,Y114,Y116,Y118)</f>
        <v>770</v>
      </c>
      <c r="Z98" s="210">
        <f>SUM(Z99,Z101,Z103,Z106,Z108,Z110,Z112,Z114,Z116,Z118)</f>
        <v>770</v>
      </c>
      <c r="AA98" s="192"/>
    </row>
    <row r="99" spans="2:45" ht="25.5" customHeight="1" x14ac:dyDescent="0.3">
      <c r="B99" s="66" t="s">
        <v>60</v>
      </c>
      <c r="C99" s="58" t="s">
        <v>82</v>
      </c>
      <c r="D99" s="222"/>
      <c r="E99" s="222"/>
      <c r="F99" s="58"/>
      <c r="G99" s="222"/>
      <c r="H99" s="222"/>
      <c r="I99" s="222"/>
      <c r="J99" s="222"/>
      <c r="K99" s="222"/>
      <c r="L99" s="222"/>
      <c r="M99" s="222"/>
      <c r="N99" s="222"/>
      <c r="O99" s="70">
        <f>+P99</f>
        <v>1000</v>
      </c>
      <c r="P99" s="38">
        <f>P100</f>
        <v>1000</v>
      </c>
      <c r="Q99" s="38"/>
      <c r="R99" s="38"/>
      <c r="S99" s="70">
        <f>+T99</f>
        <v>245</v>
      </c>
      <c r="T99" s="38">
        <f>49*5</f>
        <v>245</v>
      </c>
      <c r="U99" s="38"/>
      <c r="V99" s="233">
        <f>+W99</f>
        <v>248</v>
      </c>
      <c r="W99" s="233">
        <v>248</v>
      </c>
      <c r="X99" s="38"/>
      <c r="Y99" s="207"/>
      <c r="Z99" s="207">
        <f>+Z100</f>
        <v>248</v>
      </c>
      <c r="AA99" s="191"/>
    </row>
    <row r="100" spans="2:45" ht="27.75" customHeight="1" x14ac:dyDescent="0.3">
      <c r="B100" s="66" t="s">
        <v>109</v>
      </c>
      <c r="C100" s="58" t="s">
        <v>241</v>
      </c>
      <c r="D100" s="215" t="s">
        <v>97</v>
      </c>
      <c r="E100" s="222"/>
      <c r="F100" s="58"/>
      <c r="G100" s="222"/>
      <c r="H100" s="222"/>
      <c r="I100" s="222"/>
      <c r="J100" s="222"/>
      <c r="K100" s="222" t="s">
        <v>82</v>
      </c>
      <c r="L100" s="222"/>
      <c r="M100" s="222" t="s">
        <v>85</v>
      </c>
      <c r="N100" s="222"/>
      <c r="O100" s="74">
        <v>1000</v>
      </c>
      <c r="P100" s="17">
        <v>1000</v>
      </c>
      <c r="Q100" s="17"/>
      <c r="R100" s="17"/>
      <c r="S100" s="74">
        <v>2400</v>
      </c>
      <c r="T100" s="17">
        <v>2400</v>
      </c>
      <c r="U100" s="17"/>
      <c r="V100" s="232">
        <f>+W100</f>
        <v>248</v>
      </c>
      <c r="W100" s="230">
        <v>248</v>
      </c>
      <c r="X100" s="38"/>
      <c r="Y100" s="207"/>
      <c r="Z100" s="208">
        <v>248</v>
      </c>
      <c r="AA100" s="191" t="s">
        <v>208</v>
      </c>
      <c r="AB100" s="261">
        <f>752+248</f>
        <v>1000</v>
      </c>
    </row>
    <row r="101" spans="2:45" x14ac:dyDescent="0.3">
      <c r="B101" s="66" t="s">
        <v>9</v>
      </c>
      <c r="C101" s="58" t="s">
        <v>90</v>
      </c>
      <c r="D101" s="222"/>
      <c r="E101" s="222"/>
      <c r="F101" s="58"/>
      <c r="G101" s="222"/>
      <c r="H101" s="222"/>
      <c r="I101" s="222"/>
      <c r="J101" s="222"/>
      <c r="K101" s="222"/>
      <c r="L101" s="222"/>
      <c r="M101" s="222"/>
      <c r="N101" s="222"/>
      <c r="O101" s="70">
        <f t="shared" ref="O101:O116" si="61">+P101</f>
        <v>1000</v>
      </c>
      <c r="P101" s="38">
        <f>P102</f>
        <v>1000</v>
      </c>
      <c r="Q101" s="38"/>
      <c r="R101" s="38"/>
      <c r="S101" s="70">
        <f t="shared" ref="S101:S118" si="62">+T101</f>
        <v>245</v>
      </c>
      <c r="T101" s="38">
        <f>49*5</f>
        <v>245</v>
      </c>
      <c r="U101" s="38"/>
      <c r="V101" s="233">
        <f t="shared" ref="V101:V118" si="63">+W101</f>
        <v>248</v>
      </c>
      <c r="W101" s="233">
        <v>248</v>
      </c>
      <c r="X101" s="38"/>
      <c r="Y101" s="207"/>
      <c r="Z101" s="207"/>
      <c r="AA101" s="191"/>
    </row>
    <row r="102" spans="2:45" ht="33" customHeight="1" x14ac:dyDescent="0.3">
      <c r="B102" s="66" t="s">
        <v>109</v>
      </c>
      <c r="C102" s="58" t="s">
        <v>240</v>
      </c>
      <c r="D102" s="215" t="s">
        <v>97</v>
      </c>
      <c r="E102" s="222"/>
      <c r="F102" s="58"/>
      <c r="G102" s="222"/>
      <c r="H102" s="222"/>
      <c r="I102" s="222"/>
      <c r="J102" s="222"/>
      <c r="K102" s="222" t="s">
        <v>90</v>
      </c>
      <c r="L102" s="222"/>
      <c r="M102" s="222" t="s">
        <v>85</v>
      </c>
      <c r="N102" s="222"/>
      <c r="O102" s="74">
        <f t="shared" ref="O102" si="64">+P102</f>
        <v>1000</v>
      </c>
      <c r="P102" s="17">
        <v>1000</v>
      </c>
      <c r="Q102" s="17"/>
      <c r="R102" s="17"/>
      <c r="S102" s="74">
        <f t="shared" ref="S102" si="65">+T102</f>
        <v>245</v>
      </c>
      <c r="T102" s="17">
        <f>49*5</f>
        <v>245</v>
      </c>
      <c r="U102" s="17"/>
      <c r="V102" s="230">
        <f t="shared" ref="V102" si="66">+W102</f>
        <v>248</v>
      </c>
      <c r="W102" s="230">
        <v>248</v>
      </c>
      <c r="X102" s="38"/>
      <c r="Y102" s="207"/>
      <c r="Z102" s="207"/>
      <c r="AA102" s="191" t="s">
        <v>208</v>
      </c>
      <c r="AC102" s="10" t="s">
        <v>249</v>
      </c>
    </row>
    <row r="103" spans="2:45" ht="21.75" customHeight="1" x14ac:dyDescent="0.3">
      <c r="B103" s="66" t="s">
        <v>10</v>
      </c>
      <c r="C103" s="58" t="s">
        <v>64</v>
      </c>
      <c r="D103" s="222"/>
      <c r="E103" s="222"/>
      <c r="F103" s="58"/>
      <c r="G103" s="222"/>
      <c r="H103" s="222"/>
      <c r="I103" s="222"/>
      <c r="J103" s="222"/>
      <c r="K103" s="222"/>
      <c r="L103" s="222"/>
      <c r="M103" s="222"/>
      <c r="N103" s="222"/>
      <c r="O103" s="70">
        <f t="shared" si="61"/>
        <v>1000</v>
      </c>
      <c r="P103" s="38">
        <f>P104+P105</f>
        <v>1000</v>
      </c>
      <c r="Q103" s="17"/>
      <c r="R103" s="17"/>
      <c r="S103" s="74">
        <f t="shared" si="62"/>
        <v>245</v>
      </c>
      <c r="T103" s="17">
        <f>49*5</f>
        <v>245</v>
      </c>
      <c r="U103" s="17"/>
      <c r="V103" s="233">
        <f t="shared" si="63"/>
        <v>248</v>
      </c>
      <c r="W103" s="233">
        <v>248</v>
      </c>
      <c r="X103" s="38"/>
      <c r="Y103" s="208">
        <f>+Y104</f>
        <v>150</v>
      </c>
      <c r="Z103" s="208"/>
      <c r="AA103" s="191"/>
    </row>
    <row r="104" spans="2:45" ht="29.25" customHeight="1" x14ac:dyDescent="0.3">
      <c r="B104" s="213" t="s">
        <v>109</v>
      </c>
      <c r="C104" s="58" t="s">
        <v>148</v>
      </c>
      <c r="D104" s="222" t="s">
        <v>131</v>
      </c>
      <c r="E104" s="222"/>
      <c r="F104" s="58"/>
      <c r="G104" s="222"/>
      <c r="H104" s="222"/>
      <c r="I104" s="222"/>
      <c r="J104" s="222"/>
      <c r="K104" s="222" t="s">
        <v>64</v>
      </c>
      <c r="L104" s="222"/>
      <c r="M104" s="222" t="s">
        <v>80</v>
      </c>
      <c r="N104" s="13" t="s">
        <v>158</v>
      </c>
      <c r="O104" s="74">
        <v>600</v>
      </c>
      <c r="P104" s="17">
        <v>600</v>
      </c>
      <c r="Q104" s="17"/>
      <c r="R104" s="17"/>
      <c r="S104" s="74"/>
      <c r="T104" s="17"/>
      <c r="U104" s="17"/>
      <c r="V104" s="230">
        <v>150</v>
      </c>
      <c r="W104" s="230">
        <v>150</v>
      </c>
      <c r="X104" s="38"/>
      <c r="Y104" s="208">
        <v>150</v>
      </c>
      <c r="Z104" s="208"/>
      <c r="AA104" s="191" t="s">
        <v>186</v>
      </c>
      <c r="AB104" s="261">
        <f>450+150</f>
        <v>600</v>
      </c>
      <c r="AC104" s="10" t="s">
        <v>248</v>
      </c>
    </row>
    <row r="105" spans="2:45" ht="28.5" customHeight="1" x14ac:dyDescent="0.3">
      <c r="B105" s="213" t="s">
        <v>109</v>
      </c>
      <c r="C105" s="58" t="s">
        <v>239</v>
      </c>
      <c r="D105" s="215" t="s">
        <v>97</v>
      </c>
      <c r="E105" s="222"/>
      <c r="F105" s="58"/>
      <c r="G105" s="222"/>
      <c r="H105" s="222"/>
      <c r="I105" s="222"/>
      <c r="J105" s="222"/>
      <c r="K105" s="222" t="s">
        <v>64</v>
      </c>
      <c r="L105" s="222"/>
      <c r="M105" s="222" t="s">
        <v>85</v>
      </c>
      <c r="N105" s="13"/>
      <c r="O105" s="74">
        <f>P105</f>
        <v>400</v>
      </c>
      <c r="P105" s="17">
        <v>400</v>
      </c>
      <c r="Q105" s="17"/>
      <c r="R105" s="17"/>
      <c r="S105" s="74"/>
      <c r="T105" s="17"/>
      <c r="U105" s="17"/>
      <c r="V105" s="230">
        <f>+W105</f>
        <v>98</v>
      </c>
      <c r="W105" s="230">
        <v>98</v>
      </c>
      <c r="X105" s="38"/>
      <c r="Y105" s="207"/>
      <c r="Z105" s="207"/>
      <c r="AA105" s="191" t="s">
        <v>185</v>
      </c>
      <c r="AB105" s="261">
        <f>302+98</f>
        <v>400</v>
      </c>
      <c r="AC105" s="10" t="s">
        <v>249</v>
      </c>
    </row>
    <row r="106" spans="2:45" x14ac:dyDescent="0.3">
      <c r="B106" s="66" t="s">
        <v>79</v>
      </c>
      <c r="C106" s="58" t="s">
        <v>84</v>
      </c>
      <c r="D106" s="222"/>
      <c r="E106" s="222"/>
      <c r="F106" s="58"/>
      <c r="G106" s="222"/>
      <c r="H106" s="222"/>
      <c r="I106" s="222"/>
      <c r="J106" s="222"/>
      <c r="K106" s="222"/>
      <c r="L106" s="222"/>
      <c r="M106" s="222"/>
      <c r="N106" s="222"/>
      <c r="O106" s="70">
        <f t="shared" si="61"/>
        <v>2500</v>
      </c>
      <c r="P106" s="38">
        <v>2500</v>
      </c>
      <c r="Q106" s="38"/>
      <c r="R106" s="38"/>
      <c r="S106" s="70">
        <f t="shared" si="62"/>
        <v>620</v>
      </c>
      <c r="T106" s="38">
        <f>124*5</f>
        <v>620</v>
      </c>
      <c r="U106" s="38"/>
      <c r="V106" s="233">
        <f t="shared" si="63"/>
        <v>620</v>
      </c>
      <c r="W106" s="233">
        <f>124*5</f>
        <v>620</v>
      </c>
      <c r="X106" s="38"/>
      <c r="Y106" s="208">
        <f>+Y107</f>
        <v>620</v>
      </c>
      <c r="Z106" s="208"/>
      <c r="AA106" s="191"/>
    </row>
    <row r="107" spans="2:45" ht="30.75" customHeight="1" x14ac:dyDescent="0.3">
      <c r="B107" s="213" t="s">
        <v>109</v>
      </c>
      <c r="C107" s="214" t="s">
        <v>83</v>
      </c>
      <c r="D107" s="215" t="s">
        <v>97</v>
      </c>
      <c r="E107" s="215" t="s">
        <v>84</v>
      </c>
      <c r="F107" s="58"/>
      <c r="G107" s="222"/>
      <c r="H107" s="222"/>
      <c r="I107" s="222"/>
      <c r="J107" s="222"/>
      <c r="K107" s="222" t="s">
        <v>84</v>
      </c>
      <c r="L107" s="222"/>
      <c r="M107" s="222" t="s">
        <v>80</v>
      </c>
      <c r="N107" s="13" t="s">
        <v>138</v>
      </c>
      <c r="O107" s="74">
        <f>P107</f>
        <v>2500</v>
      </c>
      <c r="P107" s="17">
        <v>2500</v>
      </c>
      <c r="Q107" s="17"/>
      <c r="R107" s="17"/>
      <c r="S107" s="74">
        <f t="shared" ref="S107" si="67">+T107</f>
        <v>620</v>
      </c>
      <c r="T107" s="17">
        <f>124*5</f>
        <v>620</v>
      </c>
      <c r="U107" s="17"/>
      <c r="V107" s="230">
        <f t="shared" si="63"/>
        <v>620</v>
      </c>
      <c r="W107" s="230">
        <f>124*5</f>
        <v>620</v>
      </c>
      <c r="X107" s="38"/>
      <c r="Y107" s="208">
        <v>620</v>
      </c>
      <c r="Z107" s="208"/>
      <c r="AA107" s="191" t="s">
        <v>184</v>
      </c>
    </row>
    <row r="108" spans="2:45" ht="26.25" customHeight="1" x14ac:dyDescent="0.3">
      <c r="B108" s="66" t="s">
        <v>71</v>
      </c>
      <c r="C108" s="58" t="s">
        <v>81</v>
      </c>
      <c r="D108" s="222"/>
      <c r="E108" s="222"/>
      <c r="F108" s="58"/>
      <c r="G108" s="222"/>
      <c r="H108" s="222"/>
      <c r="I108" s="222"/>
      <c r="J108" s="222"/>
      <c r="K108" s="222"/>
      <c r="L108" s="222"/>
      <c r="M108" s="222"/>
      <c r="N108" s="222"/>
      <c r="O108" s="70">
        <f t="shared" si="61"/>
        <v>10000</v>
      </c>
      <c r="P108" s="38">
        <f>P109</f>
        <v>10000</v>
      </c>
      <c r="Q108" s="38"/>
      <c r="R108" s="38"/>
      <c r="S108" s="70">
        <f t="shared" si="62"/>
        <v>620</v>
      </c>
      <c r="T108" s="38">
        <f>124*5</f>
        <v>620</v>
      </c>
      <c r="U108" s="38"/>
      <c r="V108" s="233">
        <f t="shared" si="63"/>
        <v>620</v>
      </c>
      <c r="W108" s="233">
        <f>124*5</f>
        <v>620</v>
      </c>
      <c r="X108" s="38"/>
      <c r="Y108" s="207"/>
      <c r="Z108" s="207">
        <f>+Z109</f>
        <v>522</v>
      </c>
      <c r="AA108" s="191"/>
      <c r="AS108" s="10"/>
    </row>
    <row r="109" spans="2:45" ht="70.5" customHeight="1" x14ac:dyDescent="0.3">
      <c r="B109" s="3" t="s">
        <v>109</v>
      </c>
      <c r="C109" s="58" t="s">
        <v>203</v>
      </c>
      <c r="D109" s="222" t="s">
        <v>97</v>
      </c>
      <c r="E109" s="222"/>
      <c r="F109" s="58"/>
      <c r="G109" s="222"/>
      <c r="H109" s="222"/>
      <c r="I109" s="222"/>
      <c r="J109" s="222"/>
      <c r="K109" s="222" t="s">
        <v>81</v>
      </c>
      <c r="L109" s="222"/>
      <c r="M109" s="222" t="s">
        <v>85</v>
      </c>
      <c r="N109" s="222"/>
      <c r="O109" s="74">
        <f>+P109</f>
        <v>10000</v>
      </c>
      <c r="P109" s="17">
        <v>10000</v>
      </c>
      <c r="Q109" s="17"/>
      <c r="R109" s="17"/>
      <c r="S109" s="74"/>
      <c r="T109" s="17"/>
      <c r="U109" s="17"/>
      <c r="V109" s="232">
        <f>+W109</f>
        <v>620</v>
      </c>
      <c r="W109" s="230">
        <v>620</v>
      </c>
      <c r="X109" s="38"/>
      <c r="Y109" s="207"/>
      <c r="Z109" s="208">
        <f>770-248</f>
        <v>522</v>
      </c>
      <c r="AA109" s="191" t="s">
        <v>207</v>
      </c>
      <c r="AS109" s="10"/>
    </row>
    <row r="110" spans="2:45" ht="18.75" customHeight="1" x14ac:dyDescent="0.3">
      <c r="B110" s="66" t="s">
        <v>72</v>
      </c>
      <c r="C110" s="58" t="s">
        <v>91</v>
      </c>
      <c r="D110" s="222"/>
      <c r="E110" s="222"/>
      <c r="F110" s="58"/>
      <c r="G110" s="222"/>
      <c r="H110" s="222"/>
      <c r="I110" s="222"/>
      <c r="J110" s="222"/>
      <c r="K110" s="222"/>
      <c r="L110" s="222"/>
      <c r="M110" s="222"/>
      <c r="N110" s="222"/>
      <c r="O110" s="70">
        <f t="shared" si="61"/>
        <v>1250</v>
      </c>
      <c r="P110" s="38">
        <f>P111</f>
        <v>1250</v>
      </c>
      <c r="Q110" s="17"/>
      <c r="R110" s="17"/>
      <c r="S110" s="74">
        <f t="shared" si="62"/>
        <v>374</v>
      </c>
      <c r="T110" s="17">
        <v>374</v>
      </c>
      <c r="U110" s="17"/>
      <c r="V110" s="233">
        <f t="shared" si="63"/>
        <v>310</v>
      </c>
      <c r="W110" s="233">
        <v>310</v>
      </c>
      <c r="X110" s="38"/>
      <c r="Y110" s="207"/>
      <c r="Z110" s="207"/>
      <c r="AA110" s="191"/>
      <c r="AS110" s="10"/>
    </row>
    <row r="111" spans="2:45" ht="44.25" customHeight="1" x14ac:dyDescent="0.3">
      <c r="B111" s="3" t="s">
        <v>109</v>
      </c>
      <c r="C111" s="58" t="s">
        <v>238</v>
      </c>
      <c r="D111" s="222" t="s">
        <v>97</v>
      </c>
      <c r="E111" s="222"/>
      <c r="F111" s="58"/>
      <c r="G111" s="222"/>
      <c r="H111" s="222"/>
      <c r="I111" s="222"/>
      <c r="J111" s="222"/>
      <c r="K111" s="222" t="s">
        <v>91</v>
      </c>
      <c r="L111" s="222"/>
      <c r="M111" s="222" t="s">
        <v>85</v>
      </c>
      <c r="N111" s="222"/>
      <c r="O111" s="74">
        <f t="shared" ref="O111" si="68">+P111</f>
        <v>1250</v>
      </c>
      <c r="P111" s="17">
        <v>1250</v>
      </c>
      <c r="Q111" s="17"/>
      <c r="R111" s="17"/>
      <c r="S111" s="74">
        <f t="shared" ref="S111" si="69">+T111</f>
        <v>374</v>
      </c>
      <c r="T111" s="17">
        <v>374</v>
      </c>
      <c r="U111" s="17"/>
      <c r="V111" s="230">
        <f t="shared" ref="V111" si="70">+W111</f>
        <v>310</v>
      </c>
      <c r="W111" s="230">
        <v>310</v>
      </c>
      <c r="X111" s="38"/>
      <c r="Y111" s="207"/>
      <c r="Z111" s="207"/>
      <c r="AA111" s="191" t="s">
        <v>235</v>
      </c>
      <c r="AS111" s="10"/>
    </row>
    <row r="112" spans="2:45" ht="18.75" customHeight="1" x14ac:dyDescent="0.3">
      <c r="B112" s="66" t="s">
        <v>61</v>
      </c>
      <c r="C112" s="58" t="s">
        <v>92</v>
      </c>
      <c r="D112" s="222"/>
      <c r="E112" s="222"/>
      <c r="F112" s="58"/>
      <c r="G112" s="222"/>
      <c r="H112" s="222"/>
      <c r="I112" s="222"/>
      <c r="J112" s="222"/>
      <c r="K112" s="222"/>
      <c r="L112" s="222"/>
      <c r="M112" s="222"/>
      <c r="N112" s="222"/>
      <c r="O112" s="70">
        <f t="shared" si="61"/>
        <v>1250</v>
      </c>
      <c r="P112" s="38">
        <f>P113</f>
        <v>1250</v>
      </c>
      <c r="Q112" s="38"/>
      <c r="R112" s="38"/>
      <c r="S112" s="70">
        <f t="shared" si="62"/>
        <v>374</v>
      </c>
      <c r="T112" s="38">
        <v>374</v>
      </c>
      <c r="U112" s="38"/>
      <c r="V112" s="233">
        <f t="shared" si="63"/>
        <v>310</v>
      </c>
      <c r="W112" s="233">
        <v>310</v>
      </c>
      <c r="X112" s="38"/>
      <c r="Y112" s="207"/>
      <c r="Z112" s="207"/>
      <c r="AA112" s="191"/>
      <c r="AS112" s="10"/>
    </row>
    <row r="113" spans="2:45" ht="39" customHeight="1" x14ac:dyDescent="0.3">
      <c r="B113" s="3" t="s">
        <v>109</v>
      </c>
      <c r="C113" s="58" t="s">
        <v>237</v>
      </c>
      <c r="D113" s="222" t="s">
        <v>97</v>
      </c>
      <c r="E113" s="222"/>
      <c r="F113" s="58"/>
      <c r="G113" s="222"/>
      <c r="H113" s="222"/>
      <c r="I113" s="222"/>
      <c r="J113" s="222"/>
      <c r="K113" s="222" t="s">
        <v>92</v>
      </c>
      <c r="L113" s="222"/>
      <c r="M113" s="222" t="s">
        <v>85</v>
      </c>
      <c r="N113" s="222"/>
      <c r="O113" s="74">
        <f t="shared" ref="O113" si="71">+P113</f>
        <v>1250</v>
      </c>
      <c r="P113" s="17">
        <v>1250</v>
      </c>
      <c r="Q113" s="17"/>
      <c r="R113" s="17"/>
      <c r="S113" s="74">
        <f t="shared" ref="S113" si="72">+T113</f>
        <v>374</v>
      </c>
      <c r="T113" s="17">
        <v>374</v>
      </c>
      <c r="U113" s="17"/>
      <c r="V113" s="230">
        <f t="shared" ref="V113" si="73">+W113</f>
        <v>310</v>
      </c>
      <c r="W113" s="230">
        <v>310</v>
      </c>
      <c r="X113" s="38"/>
      <c r="Y113" s="207"/>
      <c r="Z113" s="207"/>
      <c r="AA113" s="191" t="s">
        <v>235</v>
      </c>
      <c r="AS113" s="10"/>
    </row>
    <row r="114" spans="2:45" ht="18.75" customHeight="1" x14ac:dyDescent="0.3">
      <c r="B114" s="66" t="s">
        <v>62</v>
      </c>
      <c r="C114" s="58" t="s">
        <v>93</v>
      </c>
      <c r="D114" s="222"/>
      <c r="E114" s="222"/>
      <c r="F114" s="58"/>
      <c r="G114" s="222"/>
      <c r="H114" s="222"/>
      <c r="I114" s="222"/>
      <c r="J114" s="222"/>
      <c r="K114" s="222"/>
      <c r="L114" s="222"/>
      <c r="M114" s="222"/>
      <c r="N114" s="222"/>
      <c r="O114" s="70">
        <f t="shared" si="61"/>
        <v>1250</v>
      </c>
      <c r="P114" s="38">
        <f>P115</f>
        <v>1250</v>
      </c>
      <c r="Q114" s="38"/>
      <c r="R114" s="38"/>
      <c r="S114" s="70">
        <f t="shared" si="62"/>
        <v>374</v>
      </c>
      <c r="T114" s="38">
        <v>374</v>
      </c>
      <c r="U114" s="38"/>
      <c r="V114" s="233">
        <f t="shared" si="63"/>
        <v>311</v>
      </c>
      <c r="W114" s="233">
        <v>311</v>
      </c>
      <c r="X114" s="38"/>
      <c r="Y114" s="207"/>
      <c r="Z114" s="207"/>
      <c r="AA114" s="191"/>
      <c r="AS114" s="10"/>
    </row>
    <row r="115" spans="2:45" ht="29.25" customHeight="1" x14ac:dyDescent="0.3">
      <c r="B115" s="3" t="s">
        <v>109</v>
      </c>
      <c r="C115" s="58" t="s">
        <v>234</v>
      </c>
      <c r="D115" s="222" t="s">
        <v>97</v>
      </c>
      <c r="E115" s="222"/>
      <c r="F115" s="58"/>
      <c r="G115" s="222"/>
      <c r="H115" s="222"/>
      <c r="I115" s="222"/>
      <c r="J115" s="222"/>
      <c r="K115" s="222" t="s">
        <v>93</v>
      </c>
      <c r="L115" s="222"/>
      <c r="M115" s="222" t="s">
        <v>85</v>
      </c>
      <c r="N115" s="222"/>
      <c r="O115" s="74">
        <f t="shared" ref="O115" si="74">+P115</f>
        <v>1250</v>
      </c>
      <c r="P115" s="17">
        <v>1250</v>
      </c>
      <c r="Q115" s="17"/>
      <c r="R115" s="17"/>
      <c r="S115" s="74">
        <f t="shared" ref="S115" si="75">+T115</f>
        <v>374</v>
      </c>
      <c r="T115" s="17">
        <v>374</v>
      </c>
      <c r="U115" s="17"/>
      <c r="V115" s="230">
        <f t="shared" ref="V115" si="76">+W115</f>
        <v>311</v>
      </c>
      <c r="W115" s="230">
        <v>311</v>
      </c>
      <c r="X115" s="38"/>
      <c r="Y115" s="207"/>
      <c r="Z115" s="207"/>
      <c r="AA115" s="191" t="s">
        <v>236</v>
      </c>
      <c r="AS115" s="10"/>
    </row>
    <row r="116" spans="2:45" ht="18.75" customHeight="1" x14ac:dyDescent="0.3">
      <c r="B116" s="66" t="s">
        <v>63</v>
      </c>
      <c r="C116" s="58" t="s">
        <v>94</v>
      </c>
      <c r="D116" s="222"/>
      <c r="E116" s="222"/>
      <c r="F116" s="58"/>
      <c r="G116" s="222"/>
      <c r="H116" s="222"/>
      <c r="I116" s="222"/>
      <c r="J116" s="222"/>
      <c r="K116" s="222"/>
      <c r="L116" s="222"/>
      <c r="M116" s="222"/>
      <c r="N116" s="222"/>
      <c r="O116" s="70">
        <f t="shared" si="61"/>
        <v>1250</v>
      </c>
      <c r="P116" s="38">
        <f>P117</f>
        <v>1250</v>
      </c>
      <c r="Q116" s="38"/>
      <c r="R116" s="38"/>
      <c r="S116" s="70">
        <f t="shared" si="62"/>
        <v>374</v>
      </c>
      <c r="T116" s="38">
        <v>374</v>
      </c>
      <c r="U116" s="38"/>
      <c r="V116" s="233">
        <f t="shared" si="63"/>
        <v>310</v>
      </c>
      <c r="W116" s="233">
        <f>W117</f>
        <v>310</v>
      </c>
      <c r="X116" s="38"/>
      <c r="Y116" s="207"/>
      <c r="Z116" s="207"/>
      <c r="AA116" s="191"/>
      <c r="AS116" s="10"/>
    </row>
    <row r="117" spans="2:45" ht="39" customHeight="1" x14ac:dyDescent="0.3">
      <c r="B117" s="3" t="s">
        <v>109</v>
      </c>
      <c r="C117" s="58" t="s">
        <v>233</v>
      </c>
      <c r="D117" s="222" t="s">
        <v>97</v>
      </c>
      <c r="E117" s="222"/>
      <c r="F117" s="58"/>
      <c r="G117" s="222"/>
      <c r="H117" s="222"/>
      <c r="I117" s="222"/>
      <c r="J117" s="222"/>
      <c r="K117" s="222" t="s">
        <v>94</v>
      </c>
      <c r="L117" s="222"/>
      <c r="M117" s="222" t="s">
        <v>85</v>
      </c>
      <c r="N117" s="222"/>
      <c r="O117" s="74">
        <f t="shared" ref="O117" si="77">+P117</f>
        <v>1250</v>
      </c>
      <c r="P117" s="17">
        <v>1250</v>
      </c>
      <c r="Q117" s="17"/>
      <c r="R117" s="17"/>
      <c r="S117" s="74">
        <f t="shared" ref="S117" si="78">+T117</f>
        <v>374</v>
      </c>
      <c r="T117" s="17">
        <v>374</v>
      </c>
      <c r="U117" s="17"/>
      <c r="V117" s="230">
        <f t="shared" ref="V117" si="79">+W117</f>
        <v>310</v>
      </c>
      <c r="W117" s="230">
        <v>310</v>
      </c>
      <c r="X117" s="38"/>
      <c r="Y117" s="207"/>
      <c r="Z117" s="207"/>
      <c r="AA117" s="191" t="s">
        <v>235</v>
      </c>
      <c r="AS117" s="10"/>
    </row>
    <row r="118" spans="2:45" ht="18.75" customHeight="1" x14ac:dyDescent="0.3">
      <c r="B118" s="66" t="s">
        <v>87</v>
      </c>
      <c r="C118" s="58" t="s">
        <v>95</v>
      </c>
      <c r="D118" s="222"/>
      <c r="E118" s="222"/>
      <c r="F118" s="58"/>
      <c r="G118" s="222"/>
      <c r="H118" s="222"/>
      <c r="I118" s="222"/>
      <c r="J118" s="222"/>
      <c r="K118" s="222"/>
      <c r="L118" s="222"/>
      <c r="M118" s="222"/>
      <c r="N118" s="222"/>
      <c r="O118" s="70">
        <f>O119</f>
        <v>2500</v>
      </c>
      <c r="P118" s="38">
        <f>P119</f>
        <v>2500</v>
      </c>
      <c r="Q118" s="17"/>
      <c r="R118" s="17"/>
      <c r="S118" s="74">
        <f t="shared" si="62"/>
        <v>374</v>
      </c>
      <c r="T118" s="17">
        <v>374</v>
      </c>
      <c r="U118" s="17"/>
      <c r="V118" s="233">
        <f t="shared" si="63"/>
        <v>620</v>
      </c>
      <c r="W118" s="233">
        <v>620</v>
      </c>
      <c r="X118" s="38"/>
      <c r="Y118" s="207"/>
      <c r="Z118" s="207"/>
      <c r="AA118" s="191"/>
      <c r="AS118" s="10"/>
    </row>
    <row r="119" spans="2:45" ht="31.5" customHeight="1" x14ac:dyDescent="0.3">
      <c r="B119" s="3" t="s">
        <v>109</v>
      </c>
      <c r="C119" s="58" t="s">
        <v>232</v>
      </c>
      <c r="D119" s="222" t="s">
        <v>97</v>
      </c>
      <c r="E119" s="222"/>
      <c r="F119" s="58"/>
      <c r="G119" s="222"/>
      <c r="H119" s="222"/>
      <c r="I119" s="222"/>
      <c r="J119" s="222"/>
      <c r="K119" s="222" t="s">
        <v>95</v>
      </c>
      <c r="L119" s="222"/>
      <c r="M119" s="222" t="s">
        <v>85</v>
      </c>
      <c r="N119" s="222"/>
      <c r="O119" s="74">
        <f t="shared" ref="O119" si="80">+P119</f>
        <v>2500</v>
      </c>
      <c r="P119" s="17">
        <v>2500</v>
      </c>
      <c r="Q119" s="17"/>
      <c r="R119" s="17"/>
      <c r="S119" s="74">
        <f t="shared" ref="S119" si="81">+T119</f>
        <v>374</v>
      </c>
      <c r="T119" s="17">
        <v>374</v>
      </c>
      <c r="U119" s="17"/>
      <c r="V119" s="230">
        <f t="shared" ref="V119" si="82">+W119</f>
        <v>620</v>
      </c>
      <c r="W119" s="230">
        <v>620</v>
      </c>
      <c r="X119" s="38"/>
      <c r="Y119" s="207"/>
      <c r="Z119" s="207"/>
      <c r="AA119" s="191" t="s">
        <v>184</v>
      </c>
      <c r="AS119" s="10"/>
    </row>
    <row r="120" spans="2:45" ht="18.75" customHeight="1" x14ac:dyDescent="0.3">
      <c r="B120" s="46" t="s">
        <v>54</v>
      </c>
      <c r="C120" s="47" t="s">
        <v>77</v>
      </c>
      <c r="D120" s="48"/>
      <c r="E120" s="48"/>
      <c r="F120" s="49"/>
      <c r="G120" s="48"/>
      <c r="H120" s="48"/>
      <c r="I120" s="48"/>
      <c r="J120" s="48"/>
      <c r="K120" s="48"/>
      <c r="L120" s="48"/>
      <c r="M120" s="48"/>
      <c r="N120" s="52"/>
      <c r="O120" s="72"/>
      <c r="P120" s="51"/>
      <c r="Q120" s="51"/>
      <c r="R120" s="51"/>
      <c r="S120" s="51"/>
      <c r="T120" s="51"/>
      <c r="U120" s="51"/>
      <c r="V120" s="174"/>
      <c r="W120" s="174"/>
      <c r="X120" s="51"/>
      <c r="Y120" s="210"/>
      <c r="Z120" s="210"/>
      <c r="AA120" s="192"/>
      <c r="AS120" s="10"/>
    </row>
    <row r="121" spans="2:45" ht="18.75" customHeight="1" x14ac:dyDescent="0.3">
      <c r="B121" s="89" t="s">
        <v>52</v>
      </c>
      <c r="C121" s="90" t="s">
        <v>55</v>
      </c>
      <c r="D121" s="119"/>
      <c r="E121" s="119"/>
      <c r="F121" s="119"/>
      <c r="G121" s="119" t="s">
        <v>43</v>
      </c>
      <c r="H121" s="120" t="s">
        <v>56</v>
      </c>
      <c r="I121" s="119" t="s">
        <v>44</v>
      </c>
      <c r="J121" s="119" t="s">
        <v>45</v>
      </c>
      <c r="K121" s="119"/>
      <c r="L121" s="119"/>
      <c r="M121" s="119"/>
      <c r="N121" s="119"/>
      <c r="O121" s="121"/>
      <c r="P121" s="122"/>
      <c r="Q121" s="91"/>
      <c r="R121" s="91"/>
      <c r="S121" s="91"/>
      <c r="T121" s="91"/>
      <c r="U121" s="91"/>
      <c r="V121" s="218"/>
      <c r="W121" s="218"/>
      <c r="X121" s="91"/>
      <c r="Y121" s="219"/>
      <c r="Z121" s="219"/>
      <c r="AA121" s="220"/>
      <c r="AS121" s="10"/>
    </row>
  </sheetData>
  <autoFilter ref="B7:AA121"/>
  <mergeCells count="30">
    <mergeCell ref="Z4:Z6"/>
    <mergeCell ref="P5:P6"/>
    <mergeCell ref="N5:N6"/>
    <mergeCell ref="Q4:R4"/>
    <mergeCell ref="K4:K6"/>
    <mergeCell ref="L4:L6"/>
    <mergeCell ref="M4:M6"/>
    <mergeCell ref="O5:O6"/>
    <mergeCell ref="N4:P4"/>
    <mergeCell ref="S5:S6"/>
    <mergeCell ref="T5:U5"/>
    <mergeCell ref="Y4:Y6"/>
    <mergeCell ref="S4:U4"/>
    <mergeCell ref="V5:V6"/>
    <mergeCell ref="B1:AA1"/>
    <mergeCell ref="B2:AA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Q5:Q6"/>
    <mergeCell ref="V4:X4"/>
    <mergeCell ref="AA4:AA6"/>
    <mergeCell ref="R5:R6"/>
    <mergeCell ref="W5:X5"/>
  </mergeCells>
  <phoneticPr fontId="12" type="noConversion"/>
  <pageMargins left="0.37" right="0.2" top="0.52" bottom="0.48" header="0.2" footer="0.2"/>
  <pageSetup paperSize="9" scale="66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8" sqref="H8"/>
    </sheetView>
  </sheetViews>
  <sheetFormatPr defaultColWidth="5.88671875" defaultRowHeight="15" x14ac:dyDescent="0.25"/>
  <cols>
    <col min="1" max="1" width="4.88671875" style="85" customWidth="1"/>
    <col min="2" max="2" width="13.77734375" style="85" customWidth="1"/>
    <col min="3" max="3" width="7.21875" style="85" customWidth="1"/>
    <col min="4" max="4" width="9.6640625" style="85" customWidth="1"/>
    <col min="5" max="5" width="10.6640625" style="85" customWidth="1"/>
    <col min="6" max="6" width="12.21875" style="85" customWidth="1"/>
    <col min="7" max="7" width="10.21875" style="85" customWidth="1"/>
    <col min="8" max="8" width="12.6640625" style="85" customWidth="1"/>
    <col min="9" max="9" width="13.88671875" style="85" customWidth="1"/>
    <col min="10" max="10" width="10.21875" style="85" customWidth="1"/>
    <col min="11" max="16384" width="5.88671875" style="85"/>
  </cols>
  <sheetData>
    <row r="1" spans="1:10" ht="16.5" x14ac:dyDescent="0.25">
      <c r="A1" s="295" t="s">
        <v>143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28.5" customHeight="1" x14ac:dyDescent="0.25">
      <c r="A2" s="296" t="s">
        <v>133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x14ac:dyDescent="0.25">
      <c r="A3" s="86"/>
      <c r="B3" s="86"/>
      <c r="C3" s="86"/>
      <c r="D3" s="86"/>
      <c r="E3" s="86"/>
      <c r="F3" s="86"/>
      <c r="G3" s="86"/>
      <c r="H3" s="86"/>
      <c r="I3" s="309" t="s">
        <v>15</v>
      </c>
      <c r="J3" s="309"/>
    </row>
    <row r="4" spans="1:10" ht="33.75" customHeight="1" x14ac:dyDescent="0.25">
      <c r="A4" s="297" t="s">
        <v>0</v>
      </c>
      <c r="B4" s="297" t="s">
        <v>111</v>
      </c>
      <c r="C4" s="298" t="s">
        <v>2</v>
      </c>
      <c r="D4" s="301" t="s">
        <v>115</v>
      </c>
      <c r="E4" s="302"/>
      <c r="F4" s="302"/>
      <c r="G4" s="303"/>
      <c r="H4" s="305" t="s">
        <v>117</v>
      </c>
      <c r="I4" s="304" t="s">
        <v>107</v>
      </c>
      <c r="J4" s="297" t="s">
        <v>28</v>
      </c>
    </row>
    <row r="5" spans="1:10" ht="22.5" customHeight="1" x14ac:dyDescent="0.25">
      <c r="A5" s="297"/>
      <c r="B5" s="297"/>
      <c r="C5" s="299"/>
      <c r="D5" s="304" t="s">
        <v>112</v>
      </c>
      <c r="E5" s="301" t="s">
        <v>113</v>
      </c>
      <c r="F5" s="302"/>
      <c r="G5" s="303"/>
      <c r="H5" s="306"/>
      <c r="I5" s="304"/>
      <c r="J5" s="297"/>
    </row>
    <row r="6" spans="1:10" ht="24.75" customHeight="1" x14ac:dyDescent="0.25">
      <c r="A6" s="297"/>
      <c r="B6" s="297"/>
      <c r="C6" s="299"/>
      <c r="D6" s="304"/>
      <c r="E6" s="308" t="s">
        <v>132</v>
      </c>
      <c r="F6" s="304" t="s">
        <v>116</v>
      </c>
      <c r="G6" s="304" t="s">
        <v>110</v>
      </c>
      <c r="H6" s="306"/>
      <c r="I6" s="304"/>
      <c r="J6" s="297"/>
    </row>
    <row r="7" spans="1:10" ht="70.5" customHeight="1" x14ac:dyDescent="0.25">
      <c r="A7" s="297"/>
      <c r="B7" s="297"/>
      <c r="C7" s="300"/>
      <c r="D7" s="304"/>
      <c r="E7" s="308"/>
      <c r="F7" s="304"/>
      <c r="G7" s="304"/>
      <c r="H7" s="307"/>
      <c r="I7" s="304"/>
      <c r="J7" s="297"/>
    </row>
    <row r="8" spans="1:10" ht="24" customHeight="1" x14ac:dyDescent="0.25">
      <c r="A8" s="93">
        <v>1</v>
      </c>
      <c r="B8" s="93" t="s">
        <v>114</v>
      </c>
      <c r="C8" s="94">
        <f>D8+I8+H8</f>
        <v>109660</v>
      </c>
      <c r="D8" s="94">
        <f>SUM(E8:G8)</f>
        <v>60815</v>
      </c>
      <c r="E8" s="94">
        <v>39160</v>
      </c>
      <c r="F8" s="94">
        <v>11655</v>
      </c>
      <c r="G8" s="94">
        <v>10000</v>
      </c>
      <c r="H8" s="94">
        <v>45000</v>
      </c>
      <c r="I8" s="94">
        <v>3845</v>
      </c>
      <c r="J8" s="93"/>
    </row>
    <row r="9" spans="1:10" x14ac:dyDescent="0.25">
      <c r="A9" s="87"/>
      <c r="B9" s="96"/>
      <c r="C9" s="96"/>
      <c r="D9" s="96"/>
      <c r="E9" s="96"/>
      <c r="F9" s="96"/>
      <c r="G9" s="96"/>
      <c r="H9" s="96"/>
      <c r="I9" s="96"/>
      <c r="J9" s="96"/>
    </row>
  </sheetData>
  <mergeCells count="15">
    <mergeCell ref="A1:J1"/>
    <mergeCell ref="A2:J2"/>
    <mergeCell ref="A4:A7"/>
    <mergeCell ref="B4:B7"/>
    <mergeCell ref="C4:C7"/>
    <mergeCell ref="D4:G4"/>
    <mergeCell ref="I4:I7"/>
    <mergeCell ref="H4:H7"/>
    <mergeCell ref="J4:J7"/>
    <mergeCell ref="D5:D7"/>
    <mergeCell ref="E5:G5"/>
    <mergeCell ref="E6:E7"/>
    <mergeCell ref="F6:F7"/>
    <mergeCell ref="G6:G7"/>
    <mergeCell ref="I3:J3"/>
  </mergeCells>
  <printOptions horizontalCentered="1"/>
  <pageMargins left="0.5" right="0.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showZeros="0" topLeftCell="B31" zoomScale="85" zoomScaleNormal="85" workbookViewId="0">
      <selection activeCell="P37" sqref="P37:P38"/>
    </sheetView>
  </sheetViews>
  <sheetFormatPr defaultColWidth="8.109375" defaultRowHeight="18.75" outlineLevelCol="1" x14ac:dyDescent="0.3"/>
  <cols>
    <col min="1" max="1" width="7.44140625" style="10" hidden="1" customWidth="1"/>
    <col min="2" max="2" width="3.88671875" style="64" customWidth="1"/>
    <col min="3" max="3" width="37.109375" style="10" customWidth="1"/>
    <col min="4" max="4" width="9.21875" style="63" customWidth="1"/>
    <col min="5" max="5" width="8.21875" style="64" hidden="1" customWidth="1" outlineLevel="1"/>
    <col min="6" max="6" width="7.33203125" style="10" hidden="1" customWidth="1" outlineLevel="1"/>
    <col min="7" max="7" width="7.21875" style="64" hidden="1" customWidth="1" outlineLevel="1" collapsed="1"/>
    <col min="8" max="8" width="8.109375" style="64" hidden="1" customWidth="1" outlineLevel="1"/>
    <col min="9" max="9" width="7.5546875" style="64" hidden="1" customWidth="1" outlineLevel="1"/>
    <col min="10" max="10" width="8.33203125" style="64" hidden="1" customWidth="1" outlineLevel="1"/>
    <col min="11" max="11" width="9.5546875" style="64" bestFit="1" customWidth="1" collapsed="1"/>
    <col min="12" max="12" width="6.6640625" style="63" bestFit="1" customWidth="1"/>
    <col min="13" max="13" width="7.33203125" style="63" customWidth="1"/>
    <col min="14" max="14" width="10" style="63" customWidth="1"/>
    <col min="15" max="15" width="8.33203125" style="64" bestFit="1" customWidth="1"/>
    <col min="16" max="16" width="9.109375" style="10" customWidth="1"/>
    <col min="17" max="17" width="7" style="10" customWidth="1" outlineLevel="1"/>
    <col min="18" max="18" width="7.33203125" style="10" customWidth="1" outlineLevel="1"/>
    <col min="19" max="19" width="8" style="10" customWidth="1" outlineLevel="1"/>
    <col min="20" max="20" width="7.5546875" style="10" bestFit="1" customWidth="1" outlineLevel="1"/>
    <col min="21" max="21" width="6.77734375" style="10" bestFit="1" customWidth="1" outlineLevel="1"/>
    <col min="22" max="22" width="26.44140625" style="65" customWidth="1"/>
    <col min="23" max="32" width="8.109375" style="10"/>
    <col min="33" max="33" width="8.109375" style="11"/>
    <col min="34" max="16384" width="8.109375" style="10"/>
  </cols>
  <sheetData>
    <row r="1" spans="2:33" ht="19.5" customHeight="1" x14ac:dyDescent="0.3">
      <c r="B1" s="277" t="s">
        <v>144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2:33" ht="23.25" customHeight="1" x14ac:dyDescent="0.3">
      <c r="B2" s="278" t="s">
        <v>214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2:33" ht="20.25" customHeight="1" x14ac:dyDescent="0.3">
      <c r="B3" s="20"/>
      <c r="C3" s="11"/>
      <c r="D3" s="19"/>
      <c r="E3" s="20"/>
      <c r="F3" s="20"/>
      <c r="G3" s="20"/>
      <c r="H3" s="20"/>
      <c r="I3" s="20"/>
      <c r="J3" s="20"/>
      <c r="K3" s="20"/>
      <c r="L3" s="19"/>
      <c r="M3" s="19"/>
      <c r="N3" s="21"/>
      <c r="O3" s="20"/>
      <c r="P3" s="11"/>
      <c r="Q3" s="22"/>
      <c r="R3" s="22"/>
      <c r="S3" s="22"/>
      <c r="T3" s="22"/>
      <c r="U3" s="22"/>
      <c r="V3" s="76" t="s">
        <v>15</v>
      </c>
    </row>
    <row r="4" spans="2:33" ht="27.75" customHeight="1" x14ac:dyDescent="0.3">
      <c r="B4" s="310" t="s">
        <v>0</v>
      </c>
      <c r="C4" s="310" t="s">
        <v>16</v>
      </c>
      <c r="D4" s="310" t="s">
        <v>17</v>
      </c>
      <c r="E4" s="310" t="s">
        <v>18</v>
      </c>
      <c r="F4" s="310" t="s">
        <v>19</v>
      </c>
      <c r="G4" s="310" t="s">
        <v>20</v>
      </c>
      <c r="H4" s="310" t="s">
        <v>21</v>
      </c>
      <c r="I4" s="310" t="s">
        <v>1</v>
      </c>
      <c r="J4" s="310" t="s">
        <v>22</v>
      </c>
      <c r="K4" s="310" t="s">
        <v>23</v>
      </c>
      <c r="L4" s="310" t="s">
        <v>24</v>
      </c>
      <c r="M4" s="310" t="s">
        <v>25</v>
      </c>
      <c r="N4" s="311" t="s">
        <v>26</v>
      </c>
      <c r="O4" s="311"/>
      <c r="P4" s="311"/>
      <c r="Q4" s="281" t="s">
        <v>27</v>
      </c>
      <c r="R4" s="281"/>
      <c r="S4" s="281" t="s">
        <v>211</v>
      </c>
      <c r="T4" s="281"/>
      <c r="U4" s="281"/>
      <c r="V4" s="281" t="s">
        <v>28</v>
      </c>
    </row>
    <row r="5" spans="2:33" x14ac:dyDescent="0.3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1" t="s">
        <v>29</v>
      </c>
      <c r="O5" s="311" t="s">
        <v>30</v>
      </c>
      <c r="P5" s="311" t="s">
        <v>31</v>
      </c>
      <c r="Q5" s="281" t="s">
        <v>32</v>
      </c>
      <c r="R5" s="281" t="s">
        <v>34</v>
      </c>
      <c r="S5" s="281" t="s">
        <v>35</v>
      </c>
      <c r="T5" s="281" t="s">
        <v>33</v>
      </c>
      <c r="U5" s="281"/>
      <c r="V5" s="281"/>
    </row>
    <row r="6" spans="2:33" ht="18.75" customHeight="1" x14ac:dyDescent="0.3"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1"/>
      <c r="O6" s="311"/>
      <c r="P6" s="311"/>
      <c r="Q6" s="281"/>
      <c r="R6" s="281"/>
      <c r="S6" s="281"/>
      <c r="T6" s="281" t="s">
        <v>2</v>
      </c>
      <c r="U6" s="312" t="s">
        <v>36</v>
      </c>
      <c r="V6" s="281"/>
    </row>
    <row r="7" spans="2:33" x14ac:dyDescent="0.3"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1"/>
      <c r="O7" s="311"/>
      <c r="P7" s="311"/>
      <c r="Q7" s="281"/>
      <c r="R7" s="281"/>
      <c r="S7" s="281"/>
      <c r="T7" s="281"/>
      <c r="U7" s="312"/>
      <c r="V7" s="281"/>
    </row>
    <row r="8" spans="2:33" ht="23.25" customHeight="1" x14ac:dyDescent="0.3"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1"/>
      <c r="O8" s="311"/>
      <c r="P8" s="311"/>
      <c r="Q8" s="281"/>
      <c r="R8" s="281"/>
      <c r="S8" s="281"/>
      <c r="T8" s="281"/>
      <c r="U8" s="312"/>
      <c r="V8" s="281"/>
    </row>
    <row r="9" spans="2:33" ht="24.75" customHeight="1" x14ac:dyDescent="0.3"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1"/>
      <c r="O9" s="311"/>
      <c r="P9" s="311"/>
      <c r="Q9" s="281"/>
      <c r="R9" s="281"/>
      <c r="S9" s="281"/>
      <c r="T9" s="281"/>
      <c r="U9" s="312"/>
      <c r="V9" s="281"/>
    </row>
    <row r="10" spans="2:33" s="26" customFormat="1" ht="19.5" x14ac:dyDescent="0.3">
      <c r="B10" s="249">
        <v>1</v>
      </c>
      <c r="C10" s="249">
        <v>2</v>
      </c>
      <c r="D10" s="249">
        <v>3</v>
      </c>
      <c r="E10" s="249">
        <v>4</v>
      </c>
      <c r="F10" s="249"/>
      <c r="G10" s="249"/>
      <c r="H10" s="249"/>
      <c r="I10" s="249"/>
      <c r="J10" s="249"/>
      <c r="K10" s="249">
        <v>4</v>
      </c>
      <c r="L10" s="249">
        <v>5</v>
      </c>
      <c r="M10" s="249">
        <v>6</v>
      </c>
      <c r="N10" s="250">
        <v>7</v>
      </c>
      <c r="O10" s="250">
        <v>8</v>
      </c>
      <c r="P10" s="250">
        <v>9</v>
      </c>
      <c r="Q10" s="251">
        <v>10</v>
      </c>
      <c r="R10" s="251">
        <v>11</v>
      </c>
      <c r="S10" s="251">
        <v>15</v>
      </c>
      <c r="T10" s="251">
        <v>16</v>
      </c>
      <c r="U10" s="251">
        <v>17</v>
      </c>
      <c r="V10" s="251">
        <v>18</v>
      </c>
      <c r="AG10" s="27"/>
    </row>
    <row r="11" spans="2:33" s="12" customFormat="1" ht="21.75" customHeight="1" x14ac:dyDescent="0.3">
      <c r="B11" s="34"/>
      <c r="C11" s="35" t="s">
        <v>96</v>
      </c>
      <c r="D11" s="35"/>
      <c r="E11" s="36"/>
      <c r="F11" s="37"/>
      <c r="G11" s="36"/>
      <c r="H11" s="36"/>
      <c r="I11" s="36"/>
      <c r="J11" s="36"/>
      <c r="K11" s="36"/>
      <c r="L11" s="35"/>
      <c r="M11" s="35"/>
      <c r="N11" s="35"/>
      <c r="O11" s="69">
        <f>O12+O21+O28</f>
        <v>46675.7</v>
      </c>
      <c r="P11" s="69">
        <f>P12+P21+P28</f>
        <v>46675.7</v>
      </c>
      <c r="Q11" s="69">
        <f t="shared" ref="Q11:U11" si="0">+Q13</f>
        <v>0</v>
      </c>
      <c r="R11" s="69">
        <f t="shared" si="0"/>
        <v>0</v>
      </c>
      <c r="S11" s="193">
        <f>S12+S21+S28</f>
        <v>20721.400000000001</v>
      </c>
      <c r="T11" s="193">
        <f>T12+T21+T28</f>
        <v>20721.400000000001</v>
      </c>
      <c r="U11" s="69">
        <f t="shared" si="0"/>
        <v>0</v>
      </c>
      <c r="V11" s="39"/>
      <c r="AG11" s="11"/>
    </row>
    <row r="12" spans="2:33" s="12" customFormat="1" ht="21.75" customHeight="1" x14ac:dyDescent="0.3">
      <c r="B12" s="34" t="s">
        <v>11</v>
      </c>
      <c r="C12" s="108" t="s">
        <v>152</v>
      </c>
      <c r="D12" s="35"/>
      <c r="E12" s="36"/>
      <c r="F12" s="37"/>
      <c r="G12" s="36"/>
      <c r="H12" s="36"/>
      <c r="I12" s="36"/>
      <c r="J12" s="36"/>
      <c r="K12" s="36"/>
      <c r="L12" s="35"/>
      <c r="M12" s="35"/>
      <c r="N12" s="35"/>
      <c r="O12" s="69">
        <f>O13+O20</f>
        <v>23830</v>
      </c>
      <c r="P12" s="69">
        <f>P13+P20</f>
        <v>23830</v>
      </c>
      <c r="Q12" s="69"/>
      <c r="R12" s="69"/>
      <c r="S12" s="193">
        <f>S13+S20</f>
        <v>16376</v>
      </c>
      <c r="T12" s="193">
        <f>T13+T20</f>
        <v>16376</v>
      </c>
      <c r="U12" s="69"/>
      <c r="V12" s="39"/>
      <c r="AG12" s="11"/>
    </row>
    <row r="13" spans="2:33" ht="25.5" customHeight="1" x14ac:dyDescent="0.3">
      <c r="B13" s="34">
        <v>1</v>
      </c>
      <c r="C13" s="108" t="s">
        <v>4</v>
      </c>
      <c r="D13" s="222"/>
      <c r="E13" s="6"/>
      <c r="F13" s="15"/>
      <c r="G13" s="6"/>
      <c r="H13" s="6"/>
      <c r="I13" s="6"/>
      <c r="J13" s="6"/>
      <c r="K13" s="6"/>
      <c r="L13" s="222"/>
      <c r="M13" s="222"/>
      <c r="N13" s="222"/>
      <c r="O13" s="69">
        <f t="shared" ref="O13:R13" si="1">+O14+O16</f>
        <v>23830</v>
      </c>
      <c r="P13" s="69">
        <f t="shared" si="1"/>
        <v>23830</v>
      </c>
      <c r="Q13" s="69">
        <f t="shared" si="1"/>
        <v>0</v>
      </c>
      <c r="R13" s="69">
        <f t="shared" si="1"/>
        <v>0</v>
      </c>
      <c r="S13" s="193">
        <f>+S14+S16</f>
        <v>16376</v>
      </c>
      <c r="T13" s="193">
        <f>+T14+T16</f>
        <v>16376</v>
      </c>
      <c r="U13" s="15"/>
      <c r="V13" s="67"/>
    </row>
    <row r="14" spans="2:33" ht="25.5" customHeight="1" x14ac:dyDescent="0.3">
      <c r="B14" s="34" t="s">
        <v>39</v>
      </c>
      <c r="C14" s="43" t="s">
        <v>76</v>
      </c>
      <c r="D14" s="222"/>
      <c r="E14" s="6"/>
      <c r="F14" s="15"/>
      <c r="G14" s="6"/>
      <c r="H14" s="6"/>
      <c r="I14" s="6"/>
      <c r="J14" s="6"/>
      <c r="K14" s="6"/>
      <c r="L14" s="222"/>
      <c r="M14" s="222"/>
      <c r="N14" s="222"/>
      <c r="O14" s="69"/>
      <c r="P14" s="69"/>
      <c r="Q14" s="15"/>
      <c r="R14" s="15"/>
      <c r="S14" s="193">
        <f>S15</f>
        <v>4000</v>
      </c>
      <c r="T14" s="193">
        <f>T15</f>
        <v>4000</v>
      </c>
      <c r="U14" s="15"/>
      <c r="V14" s="67"/>
    </row>
    <row r="15" spans="2:33" ht="30" customHeight="1" x14ac:dyDescent="0.3">
      <c r="B15" s="3" t="s">
        <v>60</v>
      </c>
      <c r="C15" s="14" t="s">
        <v>69</v>
      </c>
      <c r="D15" s="5" t="s">
        <v>97</v>
      </c>
      <c r="E15" s="6"/>
      <c r="F15" s="15"/>
      <c r="G15" s="6"/>
      <c r="H15" s="6"/>
      <c r="I15" s="6"/>
      <c r="J15" s="6"/>
      <c r="K15" s="6" t="s">
        <v>46</v>
      </c>
      <c r="L15" s="222"/>
      <c r="M15" s="222" t="s">
        <v>57</v>
      </c>
      <c r="N15" s="13" t="s">
        <v>70</v>
      </c>
      <c r="O15" s="8">
        <f>+P15</f>
        <v>8600</v>
      </c>
      <c r="P15" s="8">
        <v>8600</v>
      </c>
      <c r="Q15" s="17"/>
      <c r="R15" s="17"/>
      <c r="S15" s="163">
        <f>+T15</f>
        <v>4000</v>
      </c>
      <c r="T15" s="163">
        <f>4000</f>
        <v>4000</v>
      </c>
      <c r="U15" s="17"/>
      <c r="V15" s="18" t="s">
        <v>256</v>
      </c>
    </row>
    <row r="16" spans="2:33" ht="25.5" customHeight="1" x14ac:dyDescent="0.3">
      <c r="B16" s="34" t="s">
        <v>40</v>
      </c>
      <c r="C16" s="43" t="s">
        <v>89</v>
      </c>
      <c r="D16" s="222"/>
      <c r="E16" s="6"/>
      <c r="F16" s="15"/>
      <c r="G16" s="6"/>
      <c r="H16" s="6"/>
      <c r="I16" s="6"/>
      <c r="J16" s="6"/>
      <c r="K16" s="6"/>
      <c r="L16" s="222"/>
      <c r="M16" s="222"/>
      <c r="N16" s="222"/>
      <c r="O16" s="193">
        <f>SUM(O17:O19)</f>
        <v>23830</v>
      </c>
      <c r="P16" s="193">
        <f>SUM(P17:P19)</f>
        <v>23830</v>
      </c>
      <c r="Q16" s="69">
        <f t="shared" ref="Q16:U16" si="2">SUM(Q17:Q18)</f>
        <v>0</v>
      </c>
      <c r="R16" s="69">
        <f t="shared" si="2"/>
        <v>0</v>
      </c>
      <c r="S16" s="193">
        <f>SUM(S17:S19)</f>
        <v>12376</v>
      </c>
      <c r="T16" s="193">
        <f>SUM(T17:T19)</f>
        <v>12376</v>
      </c>
      <c r="U16" s="69">
        <f t="shared" si="2"/>
        <v>0</v>
      </c>
      <c r="V16" s="67"/>
    </row>
    <row r="17" spans="2:22" ht="44.25" customHeight="1" x14ac:dyDescent="0.3">
      <c r="B17" s="3">
        <v>1</v>
      </c>
      <c r="C17" s="95" t="s">
        <v>104</v>
      </c>
      <c r="D17" s="5" t="s">
        <v>97</v>
      </c>
      <c r="E17" s="6"/>
      <c r="F17" s="6"/>
      <c r="G17" s="6"/>
      <c r="H17" s="6"/>
      <c r="I17" s="6"/>
      <c r="J17" s="6"/>
      <c r="K17" s="6" t="s">
        <v>46</v>
      </c>
      <c r="L17" s="222"/>
      <c r="M17" s="222" t="s">
        <v>80</v>
      </c>
      <c r="N17" s="13" t="s">
        <v>139</v>
      </c>
      <c r="O17" s="8">
        <v>9800</v>
      </c>
      <c r="P17" s="8">
        <v>9800</v>
      </c>
      <c r="Q17" s="9"/>
      <c r="R17" s="9"/>
      <c r="S17" s="194">
        <f>T17</f>
        <v>4953</v>
      </c>
      <c r="T17" s="194">
        <v>4953</v>
      </c>
      <c r="U17" s="9"/>
      <c r="V17" s="18" t="s">
        <v>244</v>
      </c>
    </row>
    <row r="18" spans="2:22" ht="32.25" customHeight="1" x14ac:dyDescent="0.3">
      <c r="B18" s="3">
        <v>2</v>
      </c>
      <c r="C18" s="95" t="s">
        <v>105</v>
      </c>
      <c r="D18" s="5" t="s">
        <v>97</v>
      </c>
      <c r="E18" s="6"/>
      <c r="F18" s="6"/>
      <c r="G18" s="6"/>
      <c r="H18" s="6"/>
      <c r="I18" s="6"/>
      <c r="J18" s="6"/>
      <c r="K18" s="6" t="s">
        <v>46</v>
      </c>
      <c r="L18" s="222"/>
      <c r="M18" s="222" t="s">
        <v>80</v>
      </c>
      <c r="N18" s="13" t="s">
        <v>140</v>
      </c>
      <c r="O18" s="8">
        <v>3500</v>
      </c>
      <c r="P18" s="8">
        <v>3500</v>
      </c>
      <c r="Q18" s="9"/>
      <c r="R18" s="9"/>
      <c r="S18" s="194">
        <f>T18</f>
        <v>2000</v>
      </c>
      <c r="T18" s="194">
        <v>2000</v>
      </c>
      <c r="U18" s="9"/>
      <c r="V18" s="18" t="s">
        <v>219</v>
      </c>
    </row>
    <row r="19" spans="2:22" ht="25.5" x14ac:dyDescent="0.3">
      <c r="B19" s="3">
        <v>3</v>
      </c>
      <c r="C19" s="95" t="s">
        <v>230</v>
      </c>
      <c r="D19" s="178" t="s">
        <v>161</v>
      </c>
      <c r="E19" s="179"/>
      <c r="F19" s="179"/>
      <c r="G19" s="179"/>
      <c r="H19" s="179"/>
      <c r="I19" s="179"/>
      <c r="J19" s="179"/>
      <c r="K19" s="179" t="s">
        <v>162</v>
      </c>
      <c r="L19" s="180"/>
      <c r="M19" s="180" t="s">
        <v>85</v>
      </c>
      <c r="N19" s="13"/>
      <c r="O19" s="221">
        <f>P19</f>
        <v>10530</v>
      </c>
      <c r="P19" s="221">
        <v>10530</v>
      </c>
      <c r="Q19" s="183">
        <v>0</v>
      </c>
      <c r="R19" s="183">
        <v>0</v>
      </c>
      <c r="S19" s="202">
        <f>T19</f>
        <v>5423</v>
      </c>
      <c r="T19" s="202">
        <v>5423</v>
      </c>
      <c r="U19" s="183"/>
      <c r="V19" s="184" t="s">
        <v>231</v>
      </c>
    </row>
    <row r="20" spans="2:22" x14ac:dyDescent="0.3">
      <c r="B20" s="53" t="s">
        <v>52</v>
      </c>
      <c r="C20" s="54" t="s">
        <v>55</v>
      </c>
      <c r="D20" s="110"/>
      <c r="E20" s="109"/>
      <c r="F20" s="111"/>
      <c r="G20" s="109"/>
      <c r="H20" s="109"/>
      <c r="I20" s="109"/>
      <c r="J20" s="109"/>
      <c r="K20" s="109"/>
      <c r="L20" s="110"/>
      <c r="M20" s="110"/>
      <c r="N20" s="110"/>
      <c r="O20" s="109"/>
      <c r="P20" s="111"/>
      <c r="Q20" s="111"/>
      <c r="R20" s="111"/>
      <c r="S20" s="195"/>
      <c r="T20" s="195"/>
      <c r="U20" s="111"/>
      <c r="V20" s="116"/>
    </row>
    <row r="21" spans="2:22" x14ac:dyDescent="0.3">
      <c r="B21" s="117" t="s">
        <v>121</v>
      </c>
      <c r="C21" s="118" t="s">
        <v>151</v>
      </c>
      <c r="D21" s="110"/>
      <c r="E21" s="109"/>
      <c r="F21" s="111"/>
      <c r="G21" s="109"/>
      <c r="H21" s="109"/>
      <c r="I21" s="109"/>
      <c r="J21" s="109"/>
      <c r="K21" s="109"/>
      <c r="L21" s="110"/>
      <c r="M21" s="110"/>
      <c r="N21" s="110"/>
      <c r="O21" s="149">
        <f>O22+O27</f>
        <v>12947.85</v>
      </c>
      <c r="P21" s="149">
        <f>P22+P27</f>
        <v>12947.85</v>
      </c>
      <c r="Q21" s="111"/>
      <c r="R21" s="111"/>
      <c r="S21" s="196">
        <f>S22+S27</f>
        <v>1097</v>
      </c>
      <c r="T21" s="196">
        <f>T22+T27</f>
        <v>1097</v>
      </c>
      <c r="U21" s="111"/>
      <c r="V21" s="116"/>
    </row>
    <row r="22" spans="2:22" x14ac:dyDescent="0.3">
      <c r="B22" s="34">
        <v>1</v>
      </c>
      <c r="C22" s="108" t="s">
        <v>4</v>
      </c>
      <c r="D22" s="222"/>
      <c r="E22" s="6"/>
      <c r="F22" s="15"/>
      <c r="G22" s="6"/>
      <c r="H22" s="6"/>
      <c r="I22" s="6"/>
      <c r="J22" s="6"/>
      <c r="K22" s="6"/>
      <c r="L22" s="222"/>
      <c r="M22" s="222"/>
      <c r="N22" s="222"/>
      <c r="O22" s="69">
        <f>SUM(O25:O28)</f>
        <v>12947.85</v>
      </c>
      <c r="P22" s="69">
        <f>SUM(P25:P28)</f>
        <v>12947.85</v>
      </c>
      <c r="Q22" s="15"/>
      <c r="R22" s="15"/>
      <c r="S22" s="193">
        <f>SUM(S25:S26)</f>
        <v>1097</v>
      </c>
      <c r="T22" s="193">
        <f>SUM(T25:T26)</f>
        <v>1097</v>
      </c>
      <c r="U22" s="15"/>
      <c r="V22" s="67"/>
    </row>
    <row r="23" spans="2:22" ht="25.5" x14ac:dyDescent="0.3">
      <c r="B23" s="34" t="s">
        <v>39</v>
      </c>
      <c r="C23" s="43" t="s">
        <v>76</v>
      </c>
      <c r="D23" s="222"/>
      <c r="E23" s="6"/>
      <c r="F23" s="15"/>
      <c r="G23" s="6"/>
      <c r="H23" s="6"/>
      <c r="I23" s="6"/>
      <c r="J23" s="6"/>
      <c r="K23" s="6"/>
      <c r="L23" s="222"/>
      <c r="M23" s="222"/>
      <c r="N23" s="222"/>
      <c r="O23" s="69"/>
      <c r="P23" s="69"/>
      <c r="Q23" s="15"/>
      <c r="R23" s="15"/>
      <c r="S23" s="193"/>
      <c r="T23" s="193"/>
      <c r="U23" s="15"/>
      <c r="V23" s="67"/>
    </row>
    <row r="24" spans="2:22" x14ac:dyDescent="0.3">
      <c r="B24" s="34" t="s">
        <v>40</v>
      </c>
      <c r="C24" s="43" t="s">
        <v>89</v>
      </c>
      <c r="D24" s="222"/>
      <c r="E24" s="6"/>
      <c r="F24" s="15"/>
      <c r="G24" s="6"/>
      <c r="H24" s="6"/>
      <c r="I24" s="6"/>
      <c r="J24" s="6"/>
      <c r="K24" s="6"/>
      <c r="L24" s="222"/>
      <c r="M24" s="222"/>
      <c r="N24" s="222"/>
      <c r="O24" s="69"/>
      <c r="P24" s="69"/>
      <c r="Q24" s="15"/>
      <c r="R24" s="15"/>
      <c r="S24" s="193"/>
      <c r="T24" s="193"/>
      <c r="U24" s="15"/>
      <c r="V24" s="67"/>
    </row>
    <row r="25" spans="2:22" ht="25.5" x14ac:dyDescent="0.3">
      <c r="B25" s="101" t="s">
        <v>60</v>
      </c>
      <c r="C25" s="67" t="s">
        <v>150</v>
      </c>
      <c r="D25" s="102" t="s">
        <v>97</v>
      </c>
      <c r="E25" s="102" t="s">
        <v>84</v>
      </c>
      <c r="F25" s="58"/>
      <c r="G25" s="222"/>
      <c r="H25" s="222"/>
      <c r="I25" s="222"/>
      <c r="J25" s="222"/>
      <c r="K25" s="222" t="s">
        <v>84</v>
      </c>
      <c r="L25" s="222"/>
      <c r="M25" s="222" t="s">
        <v>80</v>
      </c>
      <c r="N25" s="13" t="s">
        <v>254</v>
      </c>
      <c r="O25" s="8">
        <f>+P25</f>
        <v>2000</v>
      </c>
      <c r="P25" s="16">
        <v>2000</v>
      </c>
      <c r="Q25" s="17"/>
      <c r="R25" s="17"/>
      <c r="S25" s="197">
        <f>+T25</f>
        <v>960</v>
      </c>
      <c r="T25" s="198">
        <v>960</v>
      </c>
      <c r="U25" s="17"/>
      <c r="V25" s="184" t="s">
        <v>245</v>
      </c>
    </row>
    <row r="26" spans="2:22" ht="25.5" x14ac:dyDescent="0.3">
      <c r="B26" s="101" t="s">
        <v>9</v>
      </c>
      <c r="C26" s="127" t="s">
        <v>153</v>
      </c>
      <c r="D26" s="128" t="s">
        <v>154</v>
      </c>
      <c r="E26" s="128"/>
      <c r="F26" s="129"/>
      <c r="G26" s="130"/>
      <c r="H26" s="130"/>
      <c r="I26" s="130"/>
      <c r="J26" s="130"/>
      <c r="K26" s="130" t="s">
        <v>114</v>
      </c>
      <c r="L26" s="130"/>
      <c r="M26" s="130">
        <v>2021</v>
      </c>
      <c r="N26" s="13" t="s">
        <v>253</v>
      </c>
      <c r="O26" s="131">
        <v>1050</v>
      </c>
      <c r="P26" s="132">
        <v>1050</v>
      </c>
      <c r="Q26" s="133"/>
      <c r="R26" s="133"/>
      <c r="S26" s="199">
        <f>T26</f>
        <v>137</v>
      </c>
      <c r="T26" s="200">
        <v>137</v>
      </c>
      <c r="U26" s="133"/>
      <c r="V26" s="184" t="s">
        <v>247</v>
      </c>
    </row>
    <row r="27" spans="2:22" x14ac:dyDescent="0.3">
      <c r="B27" s="140" t="s">
        <v>52</v>
      </c>
      <c r="C27" s="141" t="s">
        <v>55</v>
      </c>
      <c r="D27" s="144"/>
      <c r="E27" s="145"/>
      <c r="F27" s="146"/>
      <c r="G27" s="145"/>
      <c r="H27" s="145"/>
      <c r="I27" s="145"/>
      <c r="J27" s="145"/>
      <c r="K27" s="145"/>
      <c r="L27" s="144"/>
      <c r="M27" s="144"/>
      <c r="N27" s="144"/>
      <c r="O27" s="145"/>
      <c r="P27" s="146"/>
      <c r="Q27" s="146"/>
      <c r="R27" s="146"/>
      <c r="S27" s="201"/>
      <c r="T27" s="201"/>
      <c r="U27" s="146"/>
      <c r="V27" s="147"/>
    </row>
    <row r="28" spans="2:22" x14ac:dyDescent="0.3">
      <c r="B28" s="142" t="s">
        <v>13</v>
      </c>
      <c r="C28" s="148" t="s">
        <v>163</v>
      </c>
      <c r="D28" s="110"/>
      <c r="E28" s="109"/>
      <c r="F28" s="111"/>
      <c r="G28" s="109"/>
      <c r="H28" s="109"/>
      <c r="I28" s="109"/>
      <c r="J28" s="109"/>
      <c r="K28" s="109"/>
      <c r="L28" s="110"/>
      <c r="M28" s="110"/>
      <c r="N28" s="110"/>
      <c r="O28" s="149">
        <f>O29+O36</f>
        <v>9897.85</v>
      </c>
      <c r="P28" s="149">
        <f>P29+P36</f>
        <v>9897.85</v>
      </c>
      <c r="Q28" s="111"/>
      <c r="R28" s="111"/>
      <c r="S28" s="196">
        <f>S29+S36</f>
        <v>3248.4</v>
      </c>
      <c r="T28" s="196">
        <f>T29+T36</f>
        <v>3248.4</v>
      </c>
      <c r="U28" s="111"/>
      <c r="V28" s="116"/>
    </row>
    <row r="29" spans="2:22" x14ac:dyDescent="0.3">
      <c r="B29" s="34" t="s">
        <v>38</v>
      </c>
      <c r="C29" s="43" t="s">
        <v>4</v>
      </c>
      <c r="D29" s="35"/>
      <c r="E29" s="35"/>
      <c r="F29" s="40"/>
      <c r="G29" s="35"/>
      <c r="H29" s="35"/>
      <c r="I29" s="35"/>
      <c r="J29" s="35"/>
      <c r="K29" s="35"/>
      <c r="L29" s="35"/>
      <c r="M29" s="35"/>
      <c r="N29" s="44"/>
      <c r="O29" s="38">
        <f>+O30+O31</f>
        <v>9897.85</v>
      </c>
      <c r="P29" s="38">
        <f>+P30+P31</f>
        <v>9897.85</v>
      </c>
      <c r="Q29" s="38"/>
      <c r="R29" s="38"/>
      <c r="S29" s="162">
        <f>+S30+S31+S45+S56</f>
        <v>3248.4</v>
      </c>
      <c r="T29" s="162">
        <f>+T30+T31+T45+T56</f>
        <v>3248.4</v>
      </c>
      <c r="U29" s="38"/>
      <c r="V29" s="38"/>
    </row>
    <row r="30" spans="2:22" ht="25.5" x14ac:dyDescent="0.3">
      <c r="B30" s="34" t="s">
        <v>39</v>
      </c>
      <c r="C30" s="43" t="s">
        <v>76</v>
      </c>
      <c r="D30" s="35"/>
      <c r="E30" s="35"/>
      <c r="F30" s="40"/>
      <c r="G30" s="35"/>
      <c r="H30" s="35"/>
      <c r="I30" s="35"/>
      <c r="J30" s="35"/>
      <c r="K30" s="35"/>
      <c r="L30" s="35"/>
      <c r="M30" s="35"/>
      <c r="N30" s="44"/>
      <c r="O30" s="69">
        <v>0</v>
      </c>
      <c r="P30" s="69">
        <v>0</v>
      </c>
      <c r="Q30" s="38"/>
      <c r="R30" s="38"/>
      <c r="S30" s="162"/>
      <c r="T30" s="162"/>
      <c r="U30" s="38"/>
      <c r="V30" s="38"/>
    </row>
    <row r="31" spans="2:22" x14ac:dyDescent="0.3">
      <c r="B31" s="34" t="s">
        <v>40</v>
      </c>
      <c r="C31" s="43" t="s">
        <v>89</v>
      </c>
      <c r="D31" s="35"/>
      <c r="E31" s="35"/>
      <c r="F31" s="40"/>
      <c r="G31" s="35"/>
      <c r="H31" s="35"/>
      <c r="I31" s="35"/>
      <c r="J31" s="35"/>
      <c r="K31" s="35"/>
      <c r="L31" s="35"/>
      <c r="M31" s="35"/>
      <c r="N31" s="44"/>
      <c r="O31" s="69">
        <f t="shared" ref="O31:T31" si="3">+O32</f>
        <v>9897.85</v>
      </c>
      <c r="P31" s="38">
        <f t="shared" si="3"/>
        <v>9897.85</v>
      </c>
      <c r="Q31" s="38">
        <f t="shared" si="3"/>
        <v>0</v>
      </c>
      <c r="R31" s="38">
        <f t="shared" si="3"/>
        <v>0</v>
      </c>
      <c r="S31" s="162">
        <f t="shared" si="3"/>
        <v>3248.4</v>
      </c>
      <c r="T31" s="162">
        <f t="shared" si="3"/>
        <v>3248.4</v>
      </c>
      <c r="U31" s="38"/>
      <c r="V31" s="38"/>
    </row>
    <row r="32" spans="2:22" ht="27" x14ac:dyDescent="0.3">
      <c r="B32" s="46" t="s">
        <v>41</v>
      </c>
      <c r="C32" s="47" t="s">
        <v>99</v>
      </c>
      <c r="D32" s="48"/>
      <c r="E32" s="48"/>
      <c r="F32" s="49"/>
      <c r="G32" s="48"/>
      <c r="H32" s="48"/>
      <c r="I32" s="48"/>
      <c r="J32" s="48"/>
      <c r="K32" s="48"/>
      <c r="L32" s="48"/>
      <c r="M32" s="48"/>
      <c r="N32" s="52"/>
      <c r="O32" s="164">
        <f>SUM(O33:O34)</f>
        <v>9897.85</v>
      </c>
      <c r="P32" s="164">
        <f>SUM(P33:P34)</f>
        <v>9897.85</v>
      </c>
      <c r="Q32" s="62">
        <f t="shared" ref="Q32:R32" si="4">SUM(Q33:Q42)</f>
        <v>0</v>
      </c>
      <c r="R32" s="62">
        <f t="shared" si="4"/>
        <v>0</v>
      </c>
      <c r="S32" s="164">
        <f>SUM(S33:S34)</f>
        <v>3248.4</v>
      </c>
      <c r="T32" s="164">
        <f>SUM(T33:T34)</f>
        <v>3248.4</v>
      </c>
      <c r="U32" s="62"/>
      <c r="V32" s="143"/>
    </row>
    <row r="33" spans="2:22" ht="56.25" customHeight="1" x14ac:dyDescent="0.3">
      <c r="B33" s="176">
        <v>1</v>
      </c>
      <c r="C33" s="177" t="s">
        <v>160</v>
      </c>
      <c r="D33" s="178" t="s">
        <v>161</v>
      </c>
      <c r="E33" s="179"/>
      <c r="F33" s="179"/>
      <c r="G33" s="179"/>
      <c r="H33" s="179"/>
      <c r="I33" s="179"/>
      <c r="J33" s="179"/>
      <c r="K33" s="179" t="s">
        <v>162</v>
      </c>
      <c r="L33" s="180"/>
      <c r="M33" s="180" t="s">
        <v>80</v>
      </c>
      <c r="N33" s="181" t="s">
        <v>252</v>
      </c>
      <c r="O33" s="182">
        <v>7897.85</v>
      </c>
      <c r="P33" s="182">
        <v>7897.85</v>
      </c>
      <c r="Q33" s="183">
        <v>0</v>
      </c>
      <c r="R33" s="183">
        <v>0</v>
      </c>
      <c r="S33" s="202">
        <f>T33</f>
        <v>2258.4</v>
      </c>
      <c r="T33" s="202">
        <f>2258.4</f>
        <v>2258.4</v>
      </c>
      <c r="U33" s="183"/>
      <c r="V33" s="184" t="s">
        <v>164</v>
      </c>
    </row>
    <row r="34" spans="2:22" ht="43.5" customHeight="1" x14ac:dyDescent="0.3">
      <c r="B34" s="101" t="s">
        <v>10</v>
      </c>
      <c r="C34" s="67" t="s">
        <v>150</v>
      </c>
      <c r="D34" s="102" t="s">
        <v>97</v>
      </c>
      <c r="E34" s="102" t="s">
        <v>84</v>
      </c>
      <c r="F34" s="58"/>
      <c r="G34" s="222"/>
      <c r="H34" s="222"/>
      <c r="I34" s="222"/>
      <c r="J34" s="222"/>
      <c r="K34" s="222" t="s">
        <v>84</v>
      </c>
      <c r="L34" s="222"/>
      <c r="M34" s="222" t="s">
        <v>80</v>
      </c>
      <c r="N34" s="13" t="s">
        <v>155</v>
      </c>
      <c r="O34" s="8">
        <f>+P34</f>
        <v>2000</v>
      </c>
      <c r="P34" s="16">
        <v>2000</v>
      </c>
      <c r="Q34" s="17"/>
      <c r="R34" s="17"/>
      <c r="S34" s="197">
        <f>+T34</f>
        <v>990</v>
      </c>
      <c r="T34" s="198">
        <v>990</v>
      </c>
      <c r="U34" s="17"/>
      <c r="V34" s="184" t="s">
        <v>221</v>
      </c>
    </row>
    <row r="35" spans="2:22" x14ac:dyDescent="0.3">
      <c r="B35" s="46" t="s">
        <v>54</v>
      </c>
      <c r="C35" s="47" t="s">
        <v>77</v>
      </c>
      <c r="D35" s="48"/>
      <c r="E35" s="48"/>
      <c r="F35" s="49"/>
      <c r="G35" s="48"/>
      <c r="H35" s="48"/>
      <c r="I35" s="48"/>
      <c r="J35" s="48"/>
      <c r="K35" s="48"/>
      <c r="L35" s="48"/>
      <c r="M35" s="48"/>
      <c r="N35" s="52"/>
      <c r="O35" s="72"/>
      <c r="P35" s="51"/>
      <c r="Q35" s="51"/>
      <c r="R35" s="51"/>
      <c r="S35" s="51"/>
      <c r="T35" s="51"/>
      <c r="U35" s="51"/>
      <c r="V35" s="51"/>
    </row>
    <row r="36" spans="2:22" x14ac:dyDescent="0.3">
      <c r="B36" s="89" t="s">
        <v>52</v>
      </c>
      <c r="C36" s="90" t="s">
        <v>55</v>
      </c>
      <c r="D36" s="119"/>
      <c r="E36" s="119"/>
      <c r="F36" s="119"/>
      <c r="G36" s="119" t="s">
        <v>43</v>
      </c>
      <c r="H36" s="120" t="s">
        <v>56</v>
      </c>
      <c r="I36" s="119" t="s">
        <v>44</v>
      </c>
      <c r="J36" s="119" t="s">
        <v>45</v>
      </c>
      <c r="K36" s="119"/>
      <c r="L36" s="119"/>
      <c r="M36" s="119"/>
      <c r="N36" s="119"/>
      <c r="O36" s="121"/>
      <c r="P36" s="122"/>
      <c r="Q36" s="91"/>
      <c r="R36" s="91"/>
      <c r="S36" s="91"/>
      <c r="T36" s="91"/>
      <c r="U36" s="91"/>
      <c r="V36" s="91"/>
    </row>
  </sheetData>
  <autoFilter ref="B10:V18"/>
  <mergeCells count="27">
    <mergeCell ref="V4:V9"/>
    <mergeCell ref="S4:U4"/>
    <mergeCell ref="O5:O9"/>
    <mergeCell ref="N4:P4"/>
    <mergeCell ref="U6:U9"/>
    <mergeCell ref="Q4:R4"/>
    <mergeCell ref="N5:N9"/>
    <mergeCell ref="T6:T9"/>
    <mergeCell ref="P5:P9"/>
    <mergeCell ref="Q5:Q9"/>
    <mergeCell ref="R5:R9"/>
    <mergeCell ref="B1:V1"/>
    <mergeCell ref="B2:V2"/>
    <mergeCell ref="B4:B9"/>
    <mergeCell ref="C4:C9"/>
    <mergeCell ref="D4:D9"/>
    <mergeCell ref="E4:E9"/>
    <mergeCell ref="F4:F9"/>
    <mergeCell ref="G4:G9"/>
    <mergeCell ref="H4:H9"/>
    <mergeCell ref="I4:I9"/>
    <mergeCell ref="J4:J9"/>
    <mergeCell ref="K4:K9"/>
    <mergeCell ref="T5:U5"/>
    <mergeCell ref="M4:M9"/>
    <mergeCell ref="S5:S9"/>
    <mergeCell ref="L4:L9"/>
  </mergeCells>
  <phoneticPr fontId="12" type="noConversion"/>
  <printOptions horizontalCentered="1"/>
  <pageMargins left="0.27559055118110237" right="0.19685039370078741" top="0.51181102362204722" bottom="0.47244094488188981" header="0.19685039370078741" footer="0.19685039370078741"/>
  <pageSetup paperSize="9" scale="69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9"/>
  <sheetViews>
    <sheetView topLeftCell="B10" zoomScale="85" zoomScaleNormal="85" workbookViewId="0">
      <selection activeCell="O15" sqref="O15"/>
    </sheetView>
  </sheetViews>
  <sheetFormatPr defaultColWidth="8.109375" defaultRowHeight="18.75" outlineLevelRow="1" outlineLevelCol="1" x14ac:dyDescent="0.3"/>
  <cols>
    <col min="1" max="1" width="7.44140625" style="10" hidden="1" customWidth="1"/>
    <col min="2" max="2" width="3.88671875" style="64" customWidth="1"/>
    <col min="3" max="3" width="37.109375" style="10" customWidth="1"/>
    <col min="4" max="4" width="9.21875" style="63" customWidth="1"/>
    <col min="5" max="5" width="8.21875" style="64" hidden="1" customWidth="1" outlineLevel="1"/>
    <col min="6" max="6" width="7.33203125" style="10" hidden="1" customWidth="1" outlineLevel="1"/>
    <col min="7" max="7" width="7.21875" style="64" hidden="1" customWidth="1" outlineLevel="1" collapsed="1"/>
    <col min="8" max="8" width="8.109375" style="64" hidden="1" customWidth="1" outlineLevel="1"/>
    <col min="9" max="9" width="7.5546875" style="64" hidden="1" customWidth="1" outlineLevel="1"/>
    <col min="10" max="10" width="8.33203125" style="64" hidden="1" customWidth="1" outlineLevel="1"/>
    <col min="11" max="11" width="9.5546875" style="64" bestFit="1" customWidth="1" collapsed="1"/>
    <col min="12" max="12" width="6.6640625" style="63" bestFit="1" customWidth="1"/>
    <col min="13" max="13" width="7.33203125" style="63" customWidth="1"/>
    <col min="14" max="14" width="10" style="63" customWidth="1"/>
    <col min="15" max="15" width="8.33203125" style="64" bestFit="1" customWidth="1"/>
    <col min="16" max="16" width="10.6640625" style="10" bestFit="1" customWidth="1"/>
    <col min="17" max="17" width="7" style="10" customWidth="1" outlineLevel="1"/>
    <col min="18" max="19" width="7.33203125" style="10" customWidth="1" outlineLevel="1"/>
    <col min="20" max="20" width="7.5546875" style="10" customWidth="1" outlineLevel="1"/>
    <col min="21" max="21" width="6.77734375" style="10" customWidth="1" outlineLevel="1"/>
    <col min="22" max="22" width="8" style="10" customWidth="1" outlineLevel="1"/>
    <col min="23" max="23" width="7.88671875" style="10" customWidth="1" outlineLevel="1"/>
    <col min="24" max="24" width="6.77734375" style="10" customWidth="1" outlineLevel="1"/>
    <col min="25" max="25" width="25.109375" style="65" customWidth="1"/>
    <col min="26" max="26" width="8.21875" style="10" bestFit="1" customWidth="1"/>
    <col min="27" max="27" width="13.5546875" style="10" bestFit="1" customWidth="1"/>
    <col min="28" max="30" width="8.109375" style="10"/>
    <col min="31" max="33" width="8.21875" style="10" bestFit="1" customWidth="1"/>
    <col min="34" max="43" width="8.109375" style="10"/>
    <col min="44" max="44" width="8.109375" style="11"/>
    <col min="45" max="16384" width="8.109375" style="10"/>
  </cols>
  <sheetData>
    <row r="1" spans="2:44" ht="19.5" customHeight="1" x14ac:dyDescent="0.3">
      <c r="B1" s="277" t="s">
        <v>130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2:44" ht="23.25" customHeight="1" x14ac:dyDescent="0.3">
      <c r="B2" s="278" t="s">
        <v>168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2:44" ht="20.25" customHeight="1" x14ac:dyDescent="0.3">
      <c r="B3" s="20"/>
      <c r="C3" s="11"/>
      <c r="D3" s="19"/>
      <c r="E3" s="20"/>
      <c r="F3" s="20"/>
      <c r="G3" s="20"/>
      <c r="H3" s="20"/>
      <c r="I3" s="20"/>
      <c r="J3" s="20"/>
      <c r="K3" s="20"/>
      <c r="L3" s="19"/>
      <c r="M3" s="19"/>
      <c r="N3" s="21"/>
      <c r="O3" s="20"/>
      <c r="P3" s="11"/>
      <c r="Q3" s="22"/>
      <c r="R3" s="22"/>
      <c r="S3" s="22"/>
      <c r="T3" s="22"/>
      <c r="U3" s="22"/>
      <c r="V3" s="22"/>
      <c r="W3" s="22"/>
      <c r="X3" s="22"/>
      <c r="Y3" s="76" t="s">
        <v>15</v>
      </c>
    </row>
    <row r="4" spans="2:44" ht="36" customHeight="1" x14ac:dyDescent="0.3">
      <c r="B4" s="279" t="s">
        <v>0</v>
      </c>
      <c r="C4" s="279" t="s">
        <v>16</v>
      </c>
      <c r="D4" s="279" t="s">
        <v>17</v>
      </c>
      <c r="E4" s="279" t="s">
        <v>18</v>
      </c>
      <c r="F4" s="279" t="s">
        <v>19</v>
      </c>
      <c r="G4" s="279" t="s">
        <v>20</v>
      </c>
      <c r="H4" s="279" t="s">
        <v>21</v>
      </c>
      <c r="I4" s="279" t="s">
        <v>1</v>
      </c>
      <c r="J4" s="279" t="s">
        <v>22</v>
      </c>
      <c r="K4" s="279" t="s">
        <v>23</v>
      </c>
      <c r="L4" s="279" t="s">
        <v>24</v>
      </c>
      <c r="M4" s="279" t="s">
        <v>25</v>
      </c>
      <c r="N4" s="291" t="s">
        <v>26</v>
      </c>
      <c r="O4" s="292"/>
      <c r="P4" s="293"/>
      <c r="Q4" s="281" t="s">
        <v>27</v>
      </c>
      <c r="R4" s="281"/>
      <c r="S4" s="282" t="s">
        <v>74</v>
      </c>
      <c r="T4" s="283"/>
      <c r="U4" s="284"/>
      <c r="V4" s="282" t="s">
        <v>211</v>
      </c>
      <c r="W4" s="283"/>
      <c r="X4" s="284"/>
      <c r="Y4" s="285" t="s">
        <v>28</v>
      </c>
    </row>
    <row r="5" spans="2:44" ht="30" customHeight="1" x14ac:dyDescent="0.3"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9" t="s">
        <v>29</v>
      </c>
      <c r="O5" s="289" t="s">
        <v>30</v>
      </c>
      <c r="P5" s="289" t="s">
        <v>31</v>
      </c>
      <c r="Q5" s="281" t="s">
        <v>32</v>
      </c>
      <c r="R5" s="281" t="s">
        <v>34</v>
      </c>
      <c r="S5" s="281" t="s">
        <v>35</v>
      </c>
      <c r="T5" s="281" t="s">
        <v>33</v>
      </c>
      <c r="U5" s="281"/>
      <c r="V5" s="281" t="s">
        <v>35</v>
      </c>
      <c r="W5" s="281" t="s">
        <v>33</v>
      </c>
      <c r="X5" s="281"/>
      <c r="Y5" s="286"/>
    </row>
    <row r="6" spans="2:44" ht="18.75" customHeight="1" x14ac:dyDescent="0.3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90"/>
      <c r="O6" s="290"/>
      <c r="P6" s="290"/>
      <c r="Q6" s="281"/>
      <c r="R6" s="281"/>
      <c r="S6" s="281"/>
      <c r="T6" s="281" t="s">
        <v>2</v>
      </c>
      <c r="U6" s="316" t="s">
        <v>36</v>
      </c>
      <c r="V6" s="281"/>
      <c r="W6" s="281" t="s">
        <v>2</v>
      </c>
      <c r="X6" s="316" t="s">
        <v>36</v>
      </c>
      <c r="Y6" s="286"/>
    </row>
    <row r="7" spans="2:44" x14ac:dyDescent="0.3"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90"/>
      <c r="O7" s="290"/>
      <c r="P7" s="290"/>
      <c r="Q7" s="281"/>
      <c r="R7" s="281"/>
      <c r="S7" s="281"/>
      <c r="T7" s="281"/>
      <c r="U7" s="317"/>
      <c r="V7" s="281"/>
      <c r="W7" s="281"/>
      <c r="X7" s="317"/>
      <c r="Y7" s="286"/>
    </row>
    <row r="8" spans="2:44" ht="23.25" customHeight="1" x14ac:dyDescent="0.3"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90"/>
      <c r="O8" s="290"/>
      <c r="P8" s="290"/>
      <c r="Q8" s="281"/>
      <c r="R8" s="281"/>
      <c r="S8" s="281"/>
      <c r="T8" s="281"/>
      <c r="U8" s="317"/>
      <c r="V8" s="281"/>
      <c r="W8" s="281"/>
      <c r="X8" s="317"/>
      <c r="Y8" s="286"/>
    </row>
    <row r="9" spans="2:44" ht="24.75" customHeight="1" x14ac:dyDescent="0.3"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5"/>
      <c r="O9" s="315"/>
      <c r="P9" s="315"/>
      <c r="Q9" s="281"/>
      <c r="R9" s="281"/>
      <c r="S9" s="281"/>
      <c r="T9" s="281"/>
      <c r="U9" s="318"/>
      <c r="V9" s="281"/>
      <c r="W9" s="281"/>
      <c r="X9" s="318"/>
      <c r="Y9" s="314"/>
    </row>
    <row r="10" spans="2:44" s="26" customFormat="1" ht="19.5" x14ac:dyDescent="0.3">
      <c r="B10" s="23">
        <v>1</v>
      </c>
      <c r="C10" s="23">
        <v>2</v>
      </c>
      <c r="D10" s="23">
        <v>3</v>
      </c>
      <c r="E10" s="23">
        <v>4</v>
      </c>
      <c r="F10" s="23"/>
      <c r="G10" s="23"/>
      <c r="H10" s="23"/>
      <c r="I10" s="23"/>
      <c r="J10" s="23"/>
      <c r="K10" s="23">
        <v>4</v>
      </c>
      <c r="L10" s="23">
        <v>5</v>
      </c>
      <c r="M10" s="23">
        <v>6</v>
      </c>
      <c r="N10" s="24">
        <v>7</v>
      </c>
      <c r="O10" s="24">
        <v>8</v>
      </c>
      <c r="P10" s="24">
        <v>9</v>
      </c>
      <c r="Q10" s="25">
        <v>10</v>
      </c>
      <c r="R10" s="25">
        <v>11</v>
      </c>
      <c r="S10" s="25"/>
      <c r="T10" s="25"/>
      <c r="U10" s="25"/>
      <c r="V10" s="25">
        <v>15</v>
      </c>
      <c r="W10" s="25">
        <v>16</v>
      </c>
      <c r="X10" s="25">
        <v>17</v>
      </c>
      <c r="Y10" s="25">
        <v>18</v>
      </c>
      <c r="AR10" s="27"/>
    </row>
    <row r="11" spans="2:44" s="12" customFormat="1" ht="21.75" customHeight="1" x14ac:dyDescent="0.3">
      <c r="B11" s="28"/>
      <c r="C11" s="29" t="s">
        <v>96</v>
      </c>
      <c r="D11" s="29"/>
      <c r="E11" s="30"/>
      <c r="F11" s="31"/>
      <c r="G11" s="30"/>
      <c r="H11" s="30"/>
      <c r="I11" s="30"/>
      <c r="J11" s="30"/>
      <c r="K11" s="30"/>
      <c r="L11" s="29"/>
      <c r="M11" s="29"/>
      <c r="N11" s="29"/>
      <c r="O11" s="68">
        <f t="shared" ref="O11:U11" si="0">O12</f>
        <v>123000</v>
      </c>
      <c r="P11" s="68">
        <f t="shared" si="0"/>
        <v>88000</v>
      </c>
      <c r="Q11" s="68">
        <f t="shared" si="0"/>
        <v>0</v>
      </c>
      <c r="R11" s="68">
        <f t="shared" si="0"/>
        <v>0</v>
      </c>
      <c r="S11" s="68">
        <f t="shared" si="0"/>
        <v>88000</v>
      </c>
      <c r="T11" s="68">
        <f t="shared" si="0"/>
        <v>88000</v>
      </c>
      <c r="U11" s="32">
        <f t="shared" si="0"/>
        <v>0</v>
      </c>
      <c r="V11" s="161">
        <f t="shared" ref="V11:W11" si="1">V12</f>
        <v>1916.8389999999999</v>
      </c>
      <c r="W11" s="161">
        <f t="shared" si="1"/>
        <v>1916.8389999999999</v>
      </c>
      <c r="X11" s="161"/>
      <c r="Y11" s="33"/>
      <c r="AA11" s="88"/>
      <c r="AR11" s="11"/>
    </row>
    <row r="12" spans="2:44" s="12" customFormat="1" ht="33" x14ac:dyDescent="0.3">
      <c r="B12" s="34"/>
      <c r="C12" s="35" t="s">
        <v>169</v>
      </c>
      <c r="D12" s="35"/>
      <c r="E12" s="36"/>
      <c r="F12" s="37"/>
      <c r="G12" s="36"/>
      <c r="H12" s="36"/>
      <c r="I12" s="36"/>
      <c r="J12" s="36"/>
      <c r="K12" s="36"/>
      <c r="L12" s="35"/>
      <c r="M12" s="35"/>
      <c r="N12" s="59">
        <f>SUM(N14:N19)</f>
        <v>0</v>
      </c>
      <c r="O12" s="69">
        <f>O13</f>
        <v>123000</v>
      </c>
      <c r="P12" s="38">
        <f t="shared" ref="P12:U12" si="2">P13</f>
        <v>88000</v>
      </c>
      <c r="Q12" s="38">
        <f t="shared" si="2"/>
        <v>0</v>
      </c>
      <c r="R12" s="38">
        <f t="shared" si="2"/>
        <v>0</v>
      </c>
      <c r="S12" s="38">
        <f t="shared" si="2"/>
        <v>88000</v>
      </c>
      <c r="T12" s="38">
        <f t="shared" si="2"/>
        <v>88000</v>
      </c>
      <c r="U12" s="38">
        <f t="shared" si="2"/>
        <v>0</v>
      </c>
      <c r="V12" s="162">
        <f>V13</f>
        <v>1916.8389999999999</v>
      </c>
      <c r="W12" s="162">
        <f>W13</f>
        <v>1916.8389999999999</v>
      </c>
      <c r="X12" s="162"/>
      <c r="Y12" s="18"/>
      <c r="Z12" s="60"/>
      <c r="AA12" s="61"/>
      <c r="AB12" s="12">
        <f>+AA12*6%</f>
        <v>0</v>
      </c>
      <c r="AC12" s="12">
        <f>+AD12-AB12</f>
        <v>0</v>
      </c>
      <c r="AD12" s="12">
        <f>+AA12*0.1</f>
        <v>0</v>
      </c>
      <c r="AR12" s="11"/>
    </row>
    <row r="13" spans="2:44" s="41" customFormat="1" ht="21.75" customHeight="1" outlineLevel="1" x14ac:dyDescent="0.3">
      <c r="B13" s="34" t="s">
        <v>38</v>
      </c>
      <c r="C13" s="43" t="s">
        <v>4</v>
      </c>
      <c r="D13" s="35"/>
      <c r="E13" s="35"/>
      <c r="F13" s="40"/>
      <c r="G13" s="35"/>
      <c r="H13" s="35"/>
      <c r="I13" s="35"/>
      <c r="J13" s="35"/>
      <c r="K13" s="35"/>
      <c r="L13" s="35"/>
      <c r="M13" s="35"/>
      <c r="N13" s="44"/>
      <c r="O13" s="38">
        <f t="shared" ref="O13:U13" si="3">+O14+O16</f>
        <v>123000</v>
      </c>
      <c r="P13" s="38">
        <f t="shared" si="3"/>
        <v>88000</v>
      </c>
      <c r="Q13" s="38">
        <f t="shared" si="3"/>
        <v>0</v>
      </c>
      <c r="R13" s="38">
        <f t="shared" si="3"/>
        <v>0</v>
      </c>
      <c r="S13" s="38">
        <f t="shared" si="3"/>
        <v>88000</v>
      </c>
      <c r="T13" s="38">
        <f t="shared" si="3"/>
        <v>88000</v>
      </c>
      <c r="U13" s="38">
        <f t="shared" si="3"/>
        <v>0</v>
      </c>
      <c r="V13" s="162">
        <f t="shared" ref="V13:W13" si="4">+V14+V16</f>
        <v>1916.8389999999999</v>
      </c>
      <c r="W13" s="162">
        <f t="shared" si="4"/>
        <v>1916.8389999999999</v>
      </c>
      <c r="X13" s="162"/>
      <c r="Y13" s="39"/>
      <c r="AR13" s="42"/>
    </row>
    <row r="14" spans="2:44" s="41" customFormat="1" ht="34.5" customHeight="1" outlineLevel="1" x14ac:dyDescent="0.3">
      <c r="B14" s="34" t="s">
        <v>39</v>
      </c>
      <c r="C14" s="43" t="s">
        <v>76</v>
      </c>
      <c r="D14" s="35"/>
      <c r="E14" s="35"/>
      <c r="F14" s="40"/>
      <c r="G14" s="35"/>
      <c r="H14" s="35"/>
      <c r="I14" s="35"/>
      <c r="J14" s="35"/>
      <c r="K14" s="35"/>
      <c r="L14" s="35"/>
      <c r="M14" s="35"/>
      <c r="N14" s="44"/>
      <c r="O14" s="69">
        <f>+O15</f>
        <v>123000</v>
      </c>
      <c r="P14" s="69">
        <f>+P15</f>
        <v>88000</v>
      </c>
      <c r="Q14" s="38">
        <f t="shared" ref="Q14:W14" si="5">Q15</f>
        <v>0</v>
      </c>
      <c r="R14" s="38">
        <f t="shared" si="5"/>
        <v>0</v>
      </c>
      <c r="S14" s="38">
        <f t="shared" si="5"/>
        <v>88000</v>
      </c>
      <c r="T14" s="38">
        <f t="shared" si="5"/>
        <v>88000</v>
      </c>
      <c r="U14" s="38">
        <f t="shared" si="5"/>
        <v>0</v>
      </c>
      <c r="V14" s="162">
        <f t="shared" si="5"/>
        <v>1916.8389999999999</v>
      </c>
      <c r="W14" s="162">
        <f t="shared" si="5"/>
        <v>1916.8389999999999</v>
      </c>
      <c r="X14" s="162"/>
      <c r="Y14" s="18"/>
      <c r="AR14" s="42"/>
    </row>
    <row r="15" spans="2:44" s="41" customFormat="1" ht="69.75" customHeight="1" outlineLevel="1" x14ac:dyDescent="0.3">
      <c r="B15" s="3">
        <v>1</v>
      </c>
      <c r="C15" s="14" t="s">
        <v>100</v>
      </c>
      <c r="D15" s="5" t="s">
        <v>97</v>
      </c>
      <c r="E15" s="6"/>
      <c r="F15" s="15"/>
      <c r="G15" s="6"/>
      <c r="H15" s="6"/>
      <c r="I15" s="6"/>
      <c r="J15" s="6"/>
      <c r="K15" s="6" t="s">
        <v>95</v>
      </c>
      <c r="L15" s="150"/>
      <c r="M15" s="150" t="s">
        <v>57</v>
      </c>
      <c r="N15" s="13" t="s">
        <v>191</v>
      </c>
      <c r="O15" s="8">
        <v>123000</v>
      </c>
      <c r="P15" s="16">
        <v>88000</v>
      </c>
      <c r="Q15" s="17"/>
      <c r="R15" s="17"/>
      <c r="S15" s="17">
        <f>T15</f>
        <v>88000</v>
      </c>
      <c r="T15" s="17">
        <v>88000</v>
      </c>
      <c r="U15" s="17"/>
      <c r="V15" s="163">
        <f>W15</f>
        <v>1916.8389999999999</v>
      </c>
      <c r="W15" s="163">
        <v>1916.8389999999999</v>
      </c>
      <c r="X15" s="163"/>
      <c r="Y15" s="18" t="s">
        <v>220</v>
      </c>
      <c r="AR15" s="42"/>
    </row>
    <row r="16" spans="2:44" s="41" customFormat="1" ht="22.5" customHeight="1" outlineLevel="1" x14ac:dyDescent="0.3">
      <c r="B16" s="34" t="s">
        <v>40</v>
      </c>
      <c r="C16" s="43" t="s">
        <v>89</v>
      </c>
      <c r="D16" s="35"/>
      <c r="E16" s="35"/>
      <c r="F16" s="40"/>
      <c r="G16" s="35"/>
      <c r="H16" s="35"/>
      <c r="I16" s="35"/>
      <c r="J16" s="35"/>
      <c r="K16" s="35"/>
      <c r="L16" s="35"/>
      <c r="M16" s="35"/>
      <c r="N16" s="44"/>
      <c r="O16" s="69"/>
      <c r="P16" s="38"/>
      <c r="Q16" s="38"/>
      <c r="R16" s="38"/>
      <c r="S16" s="38"/>
      <c r="T16" s="38"/>
      <c r="U16" s="38"/>
      <c r="V16" s="162"/>
      <c r="W16" s="162"/>
      <c r="X16" s="162"/>
      <c r="Y16" s="39"/>
      <c r="AR16" s="42"/>
    </row>
    <row r="17" spans="2:44" s="26" customFormat="1" ht="31.5" customHeight="1" outlineLevel="1" x14ac:dyDescent="0.3">
      <c r="B17" s="46" t="s">
        <v>41</v>
      </c>
      <c r="C17" s="47" t="s">
        <v>99</v>
      </c>
      <c r="D17" s="48"/>
      <c r="E17" s="48"/>
      <c r="F17" s="49"/>
      <c r="G17" s="48"/>
      <c r="H17" s="48"/>
      <c r="I17" s="48"/>
      <c r="J17" s="48"/>
      <c r="K17" s="48"/>
      <c r="L17" s="48"/>
      <c r="M17" s="48"/>
      <c r="N17" s="52"/>
      <c r="O17" s="75"/>
      <c r="P17" s="75"/>
      <c r="Q17" s="62"/>
      <c r="R17" s="62"/>
      <c r="S17" s="62"/>
      <c r="T17" s="62"/>
      <c r="U17" s="62"/>
      <c r="V17" s="164"/>
      <c r="W17" s="164"/>
      <c r="X17" s="164"/>
      <c r="Y17" s="50"/>
      <c r="AR17" s="27"/>
    </row>
    <row r="18" spans="2:44" s="12" customFormat="1" ht="21.75" customHeight="1" x14ac:dyDescent="0.3">
      <c r="B18" s="46" t="s">
        <v>54</v>
      </c>
      <c r="C18" s="47" t="s">
        <v>77</v>
      </c>
      <c r="D18" s="48"/>
      <c r="E18" s="48"/>
      <c r="F18" s="49"/>
      <c r="G18" s="48"/>
      <c r="H18" s="48"/>
      <c r="I18" s="48"/>
      <c r="J18" s="48"/>
      <c r="K18" s="48"/>
      <c r="L18" s="48"/>
      <c r="M18" s="48"/>
      <c r="N18" s="48"/>
      <c r="O18" s="71"/>
      <c r="P18" s="51"/>
      <c r="Q18" s="51">
        <v>0</v>
      </c>
      <c r="R18" s="51">
        <v>0</v>
      </c>
      <c r="S18" s="51"/>
      <c r="T18" s="51"/>
      <c r="U18" s="51"/>
      <c r="V18" s="165"/>
      <c r="W18" s="165">
        <v>0</v>
      </c>
      <c r="X18" s="165"/>
      <c r="Y18" s="50"/>
      <c r="AR18" s="11"/>
    </row>
    <row r="19" spans="2:44" s="12" customFormat="1" x14ac:dyDescent="0.3">
      <c r="B19" s="166" t="s">
        <v>52</v>
      </c>
      <c r="C19" s="167" t="s">
        <v>55</v>
      </c>
      <c r="D19" s="168"/>
      <c r="E19" s="168"/>
      <c r="F19" s="169"/>
      <c r="G19" s="168"/>
      <c r="H19" s="168"/>
      <c r="I19" s="168"/>
      <c r="J19" s="168"/>
      <c r="K19" s="168"/>
      <c r="L19" s="168"/>
      <c r="M19" s="168"/>
      <c r="N19" s="170"/>
      <c r="O19" s="171"/>
      <c r="P19" s="91"/>
      <c r="Q19" s="91">
        <v>0</v>
      </c>
      <c r="R19" s="91">
        <v>0</v>
      </c>
      <c r="S19" s="91"/>
      <c r="T19" s="91"/>
      <c r="U19" s="91"/>
      <c r="V19" s="172">
        <v>0</v>
      </c>
      <c r="W19" s="172">
        <v>0</v>
      </c>
      <c r="X19" s="172"/>
      <c r="Y19" s="173"/>
      <c r="AR19" s="11"/>
    </row>
  </sheetData>
  <mergeCells count="32">
    <mergeCell ref="Y4:Y9"/>
    <mergeCell ref="N5:N9"/>
    <mergeCell ref="O5:O9"/>
    <mergeCell ref="P5:P9"/>
    <mergeCell ref="Q5:Q9"/>
    <mergeCell ref="R5:R9"/>
    <mergeCell ref="S5:S9"/>
    <mergeCell ref="Q4:R4"/>
    <mergeCell ref="X6:X9"/>
    <mergeCell ref="T5:U5"/>
    <mergeCell ref="V5:V9"/>
    <mergeCell ref="W5:X5"/>
    <mergeCell ref="T6:T9"/>
    <mergeCell ref="U6:U9"/>
    <mergeCell ref="W6:W9"/>
    <mergeCell ref="V4:X4"/>
    <mergeCell ref="B1:Y1"/>
    <mergeCell ref="B2:Y2"/>
    <mergeCell ref="B4:B9"/>
    <mergeCell ref="C4:C9"/>
    <mergeCell ref="D4:D9"/>
    <mergeCell ref="E4:E9"/>
    <mergeCell ref="F4:F9"/>
    <mergeCell ref="G4:G9"/>
    <mergeCell ref="H4:H9"/>
    <mergeCell ref="I4:I9"/>
    <mergeCell ref="J4:J9"/>
    <mergeCell ref="K4:K9"/>
    <mergeCell ref="L4:L9"/>
    <mergeCell ref="M4:M9"/>
    <mergeCell ref="N4:P4"/>
    <mergeCell ref="S4:U4"/>
  </mergeCells>
  <printOptions horizontalCentered="1"/>
  <pageMargins left="0.27559055118110237" right="0.19685039370078741" top="0.74803149606299213" bottom="0.74803149606299213" header="0.31496062992125984" footer="0.31496062992125984"/>
  <pageSetup paperSize="9" scale="6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"/>
  <sheetViews>
    <sheetView topLeftCell="B7" workbookViewId="0">
      <selection activeCell="N18" sqref="N18"/>
    </sheetView>
  </sheetViews>
  <sheetFormatPr defaultColWidth="8.109375" defaultRowHeight="18.75" outlineLevelCol="1" x14ac:dyDescent="0.3"/>
  <cols>
    <col min="1" max="1" width="7.44140625" style="10" hidden="1" customWidth="1"/>
    <col min="2" max="2" width="3.88671875" style="64" customWidth="1"/>
    <col min="3" max="3" width="37.109375" style="10" customWidth="1"/>
    <col min="4" max="4" width="9.21875" style="63" customWidth="1"/>
    <col min="5" max="5" width="8.21875" style="64" hidden="1" customWidth="1" outlineLevel="1"/>
    <col min="6" max="6" width="7.33203125" style="10" hidden="1" customWidth="1" outlineLevel="1"/>
    <col min="7" max="7" width="7.21875" style="64" hidden="1" customWidth="1" outlineLevel="1" collapsed="1"/>
    <col min="8" max="8" width="8.109375" style="64" hidden="1" customWidth="1" outlineLevel="1"/>
    <col min="9" max="9" width="7.5546875" style="64" hidden="1" customWidth="1" outlineLevel="1"/>
    <col min="10" max="10" width="8.33203125" style="64" hidden="1" customWidth="1" outlineLevel="1"/>
    <col min="11" max="11" width="8.5546875" style="64" bestFit="1" customWidth="1" collapsed="1"/>
    <col min="12" max="12" width="6.6640625" style="63" bestFit="1" customWidth="1"/>
    <col min="13" max="13" width="7.33203125" style="63" customWidth="1"/>
    <col min="14" max="14" width="8.77734375" style="63" customWidth="1"/>
    <col min="15" max="15" width="8" style="64" customWidth="1"/>
    <col min="16" max="16" width="7.109375" style="10" customWidth="1"/>
    <col min="17" max="17" width="7" style="10" customWidth="1" outlineLevel="1"/>
    <col min="18" max="19" width="7.33203125" style="10" customWidth="1" outlineLevel="1"/>
    <col min="20" max="20" width="7.5546875" style="10" customWidth="1" outlineLevel="1"/>
    <col min="21" max="21" width="6.77734375" style="10" customWidth="1" outlineLevel="1"/>
    <col min="22" max="22" width="8.77734375" style="10" customWidth="1" outlineLevel="1"/>
    <col min="23" max="23" width="6.21875" style="10" customWidth="1" outlineLevel="1"/>
    <col min="24" max="24" width="6.77734375" style="10" customWidth="1" outlineLevel="1"/>
    <col min="25" max="25" width="26.44140625" style="65" customWidth="1"/>
    <col min="26" max="26" width="8.21875" style="10" bestFit="1" customWidth="1"/>
    <col min="27" max="27" width="13.5546875" style="10" bestFit="1" customWidth="1"/>
    <col min="28" max="30" width="8.109375" style="10"/>
    <col min="31" max="33" width="8.21875" style="10" bestFit="1" customWidth="1"/>
    <col min="34" max="41" width="8.109375" style="10"/>
    <col min="42" max="42" width="8.109375" style="11"/>
    <col min="43" max="43" width="8.109375" style="10"/>
    <col min="44" max="44" width="8.109375" style="11"/>
    <col min="45" max="16384" width="8.109375" style="10"/>
  </cols>
  <sheetData>
    <row r="1" spans="2:44" ht="19.5" customHeight="1" x14ac:dyDescent="0.3">
      <c r="B1" s="277" t="s">
        <v>167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2:44" ht="23.25" customHeight="1" x14ac:dyDescent="0.3">
      <c r="B2" s="278" t="s">
        <v>213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2:44" ht="20.25" customHeight="1" x14ac:dyDescent="0.3">
      <c r="B3" s="20"/>
      <c r="C3" s="11"/>
      <c r="D3" s="19"/>
      <c r="E3" s="20"/>
      <c r="F3" s="20"/>
      <c r="G3" s="20"/>
      <c r="H3" s="20"/>
      <c r="I3" s="20"/>
      <c r="J3" s="20"/>
      <c r="K3" s="20"/>
      <c r="L3" s="19"/>
      <c r="M3" s="19"/>
      <c r="N3" s="21"/>
      <c r="O3" s="20"/>
      <c r="P3" s="11"/>
      <c r="Q3" s="22"/>
      <c r="R3" s="22"/>
      <c r="S3" s="22"/>
      <c r="T3" s="22"/>
      <c r="U3" s="22"/>
      <c r="V3" s="22"/>
      <c r="W3" s="22"/>
      <c r="X3" s="22"/>
      <c r="Y3" s="76" t="s">
        <v>15</v>
      </c>
    </row>
    <row r="4" spans="2:44" ht="36" customHeight="1" x14ac:dyDescent="0.3">
      <c r="B4" s="279" t="s">
        <v>0</v>
      </c>
      <c r="C4" s="279" t="s">
        <v>16</v>
      </c>
      <c r="D4" s="279" t="s">
        <v>17</v>
      </c>
      <c r="E4" s="279" t="s">
        <v>18</v>
      </c>
      <c r="F4" s="279" t="s">
        <v>19</v>
      </c>
      <c r="G4" s="279" t="s">
        <v>20</v>
      </c>
      <c r="H4" s="279" t="s">
        <v>21</v>
      </c>
      <c r="I4" s="279" t="s">
        <v>1</v>
      </c>
      <c r="J4" s="279" t="s">
        <v>22</v>
      </c>
      <c r="K4" s="279" t="s">
        <v>23</v>
      </c>
      <c r="L4" s="279" t="s">
        <v>24</v>
      </c>
      <c r="M4" s="279" t="s">
        <v>25</v>
      </c>
      <c r="N4" s="291" t="s">
        <v>26</v>
      </c>
      <c r="O4" s="292"/>
      <c r="P4" s="293"/>
      <c r="Q4" s="281" t="s">
        <v>27</v>
      </c>
      <c r="R4" s="281"/>
      <c r="S4" s="282" t="s">
        <v>74</v>
      </c>
      <c r="T4" s="283"/>
      <c r="U4" s="284"/>
      <c r="V4" s="282" t="s">
        <v>211</v>
      </c>
      <c r="W4" s="283"/>
      <c r="X4" s="284"/>
      <c r="Y4" s="285" t="s">
        <v>28</v>
      </c>
    </row>
    <row r="5" spans="2:44" ht="30" customHeight="1" x14ac:dyDescent="0.3"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9" t="s">
        <v>29</v>
      </c>
      <c r="O5" s="289" t="s">
        <v>30</v>
      </c>
      <c r="P5" s="289" t="s">
        <v>31</v>
      </c>
      <c r="Q5" s="281" t="s">
        <v>32</v>
      </c>
      <c r="R5" s="281" t="s">
        <v>34</v>
      </c>
      <c r="S5" s="281" t="s">
        <v>35</v>
      </c>
      <c r="T5" s="281" t="s">
        <v>33</v>
      </c>
      <c r="U5" s="281"/>
      <c r="V5" s="281" t="s">
        <v>35</v>
      </c>
      <c r="W5" s="281" t="s">
        <v>33</v>
      </c>
      <c r="X5" s="281"/>
      <c r="Y5" s="286"/>
    </row>
    <row r="6" spans="2:44" ht="18.75" customHeight="1" x14ac:dyDescent="0.3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90"/>
      <c r="O6" s="290"/>
      <c r="P6" s="290"/>
      <c r="Q6" s="281"/>
      <c r="R6" s="281"/>
      <c r="S6" s="281"/>
      <c r="T6" s="281" t="s">
        <v>2</v>
      </c>
      <c r="U6" s="319" t="s">
        <v>36</v>
      </c>
      <c r="V6" s="281"/>
      <c r="W6" s="281" t="s">
        <v>2</v>
      </c>
      <c r="X6" s="319" t="s">
        <v>36</v>
      </c>
      <c r="Y6" s="286"/>
    </row>
    <row r="7" spans="2:44" x14ac:dyDescent="0.3"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90"/>
      <c r="O7" s="290"/>
      <c r="P7" s="290"/>
      <c r="Q7" s="281"/>
      <c r="R7" s="281"/>
      <c r="S7" s="281"/>
      <c r="T7" s="281"/>
      <c r="U7" s="320"/>
      <c r="V7" s="281"/>
      <c r="W7" s="281"/>
      <c r="X7" s="320"/>
      <c r="Y7" s="286"/>
    </row>
    <row r="8" spans="2:44" ht="23.25" customHeight="1" x14ac:dyDescent="0.3"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90"/>
      <c r="O8" s="290"/>
      <c r="P8" s="290"/>
      <c r="Q8" s="281"/>
      <c r="R8" s="281"/>
      <c r="S8" s="281"/>
      <c r="T8" s="281"/>
      <c r="U8" s="320"/>
      <c r="V8" s="281"/>
      <c r="W8" s="281"/>
      <c r="X8" s="320"/>
      <c r="Y8" s="286"/>
    </row>
    <row r="9" spans="2:44" ht="24.75" customHeight="1" x14ac:dyDescent="0.3"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5"/>
      <c r="O9" s="315"/>
      <c r="P9" s="315"/>
      <c r="Q9" s="281"/>
      <c r="R9" s="281"/>
      <c r="S9" s="281"/>
      <c r="T9" s="281"/>
      <c r="U9" s="321"/>
      <c r="V9" s="281"/>
      <c r="W9" s="281"/>
      <c r="X9" s="321"/>
      <c r="Y9" s="314"/>
    </row>
    <row r="10" spans="2:44" s="26" customFormat="1" ht="19.5" x14ac:dyDescent="0.3">
      <c r="B10" s="23">
        <v>1</v>
      </c>
      <c r="C10" s="23">
        <v>2</v>
      </c>
      <c r="D10" s="23">
        <v>3</v>
      </c>
      <c r="E10" s="23">
        <v>4</v>
      </c>
      <c r="F10" s="23"/>
      <c r="G10" s="23"/>
      <c r="H10" s="23"/>
      <c r="I10" s="23"/>
      <c r="J10" s="23"/>
      <c r="K10" s="23">
        <v>4</v>
      </c>
      <c r="L10" s="23">
        <v>5</v>
      </c>
      <c r="M10" s="23">
        <v>6</v>
      </c>
      <c r="N10" s="24">
        <v>7</v>
      </c>
      <c r="O10" s="24">
        <v>8</v>
      </c>
      <c r="P10" s="24">
        <v>9</v>
      </c>
      <c r="Q10" s="25">
        <v>10</v>
      </c>
      <c r="R10" s="25">
        <v>11</v>
      </c>
      <c r="S10" s="25"/>
      <c r="T10" s="25"/>
      <c r="U10" s="25"/>
      <c r="V10" s="25">
        <v>15</v>
      </c>
      <c r="W10" s="25">
        <v>16</v>
      </c>
      <c r="X10" s="25">
        <v>17</v>
      </c>
      <c r="Y10" s="25">
        <v>18</v>
      </c>
      <c r="AP10" s="27"/>
      <c r="AR10" s="27"/>
    </row>
    <row r="11" spans="2:44" s="12" customFormat="1" ht="21.75" customHeight="1" x14ac:dyDescent="0.3">
      <c r="B11" s="28"/>
      <c r="C11" s="29" t="s">
        <v>96</v>
      </c>
      <c r="D11" s="29"/>
      <c r="E11" s="30"/>
      <c r="F11" s="31"/>
      <c r="G11" s="30"/>
      <c r="H11" s="30"/>
      <c r="I11" s="30"/>
      <c r="J11" s="30"/>
      <c r="K11" s="30"/>
      <c r="L11" s="29"/>
      <c r="M11" s="29"/>
      <c r="N11" s="29"/>
      <c r="O11" s="68">
        <f>+O12</f>
        <v>8947.85</v>
      </c>
      <c r="P11" s="68">
        <f t="shared" ref="P11:W11" si="0">+P12</f>
        <v>8947.85</v>
      </c>
      <c r="Q11" s="68">
        <f t="shared" si="0"/>
        <v>0</v>
      </c>
      <c r="R11" s="68">
        <f t="shared" si="0"/>
        <v>0</v>
      </c>
      <c r="S11" s="68">
        <f t="shared" si="0"/>
        <v>2913</v>
      </c>
      <c r="T11" s="68">
        <f t="shared" si="0"/>
        <v>2913</v>
      </c>
      <c r="U11" s="68">
        <f t="shared" si="0"/>
        <v>0</v>
      </c>
      <c r="V11" s="68">
        <f t="shared" si="0"/>
        <v>2913</v>
      </c>
      <c r="W11" s="68">
        <f t="shared" si="0"/>
        <v>2913</v>
      </c>
      <c r="X11" s="68"/>
      <c r="Y11" s="33"/>
      <c r="AA11" s="88"/>
      <c r="AP11" s="11"/>
      <c r="AR11" s="11"/>
    </row>
    <row r="12" spans="2:44" ht="31.5" customHeight="1" x14ac:dyDescent="0.3">
      <c r="B12" s="216" t="s">
        <v>11</v>
      </c>
      <c r="C12" s="92" t="s">
        <v>166</v>
      </c>
      <c r="D12" s="203"/>
      <c r="E12" s="6"/>
      <c r="F12" s="15"/>
      <c r="G12" s="6"/>
      <c r="H12" s="6"/>
      <c r="I12" s="6"/>
      <c r="J12" s="6"/>
      <c r="K12" s="6"/>
      <c r="L12" s="203"/>
      <c r="M12" s="203"/>
      <c r="N12" s="203"/>
      <c r="O12" s="217">
        <f>O13+O20</f>
        <v>8947.85</v>
      </c>
      <c r="P12" s="217">
        <f>P13+P20</f>
        <v>8947.85</v>
      </c>
      <c r="Q12" s="217">
        <f t="shared" ref="Q12:U12" si="1">Q13+Q20</f>
        <v>0</v>
      </c>
      <c r="R12" s="217">
        <f t="shared" si="1"/>
        <v>0</v>
      </c>
      <c r="S12" s="217">
        <f t="shared" si="1"/>
        <v>2913</v>
      </c>
      <c r="T12" s="217">
        <f t="shared" si="1"/>
        <v>2913</v>
      </c>
      <c r="U12" s="217">
        <f t="shared" si="1"/>
        <v>0</v>
      </c>
      <c r="V12" s="217">
        <f>V13+V20</f>
        <v>2913</v>
      </c>
      <c r="W12" s="217">
        <f>W13+W20</f>
        <v>2913</v>
      </c>
      <c r="X12" s="15"/>
      <c r="Y12" s="67"/>
      <c r="AR12" s="10"/>
    </row>
    <row r="13" spans="2:44" x14ac:dyDescent="0.3">
      <c r="B13" s="34" t="s">
        <v>38</v>
      </c>
      <c r="C13" s="43" t="s">
        <v>4</v>
      </c>
      <c r="D13" s="35"/>
      <c r="E13" s="35"/>
      <c r="F13" s="40"/>
      <c r="G13" s="35"/>
      <c r="H13" s="35"/>
      <c r="I13" s="35"/>
      <c r="J13" s="35"/>
      <c r="K13" s="35"/>
      <c r="L13" s="35"/>
      <c r="M13" s="35"/>
      <c r="N13" s="44"/>
      <c r="O13" s="38">
        <f>+O14+O15+O29+O40</f>
        <v>8947.85</v>
      </c>
      <c r="P13" s="38">
        <f>+P14+P15+P29+P40</f>
        <v>8947.85</v>
      </c>
      <c r="Q13" s="38">
        <f t="shared" ref="Q13:U13" si="2">+Q14+Q15+Q29+Q40</f>
        <v>0</v>
      </c>
      <c r="R13" s="38">
        <f t="shared" si="2"/>
        <v>0</v>
      </c>
      <c r="S13" s="38">
        <f t="shared" si="2"/>
        <v>2913</v>
      </c>
      <c r="T13" s="38">
        <f t="shared" si="2"/>
        <v>2913</v>
      </c>
      <c r="U13" s="38">
        <f t="shared" si="2"/>
        <v>0</v>
      </c>
      <c r="V13" s="38">
        <f>+V14+V15+V29+V40</f>
        <v>2913</v>
      </c>
      <c r="W13" s="38">
        <f>+W14+W15+W29+W40</f>
        <v>2913</v>
      </c>
      <c r="X13" s="38"/>
      <c r="Y13" s="39"/>
      <c r="AR13" s="10"/>
    </row>
    <row r="14" spans="2:44" ht="25.5" x14ac:dyDescent="0.3">
      <c r="B14" s="34" t="s">
        <v>39</v>
      </c>
      <c r="C14" s="43" t="s">
        <v>76</v>
      </c>
      <c r="D14" s="35"/>
      <c r="E14" s="35"/>
      <c r="F14" s="40"/>
      <c r="G14" s="35"/>
      <c r="H14" s="35"/>
      <c r="I14" s="35"/>
      <c r="J14" s="35"/>
      <c r="K14" s="35"/>
      <c r="L14" s="35"/>
      <c r="M14" s="35"/>
      <c r="N14" s="44"/>
      <c r="O14" s="69">
        <v>0</v>
      </c>
      <c r="P14" s="69">
        <v>0</v>
      </c>
      <c r="Q14" s="38"/>
      <c r="R14" s="38"/>
      <c r="S14" s="38"/>
      <c r="T14" s="38"/>
      <c r="U14" s="38"/>
      <c r="V14" s="38"/>
      <c r="W14" s="38"/>
      <c r="X14" s="38"/>
      <c r="Y14" s="18"/>
      <c r="AR14" s="10"/>
    </row>
    <row r="15" spans="2:44" x14ac:dyDescent="0.3">
      <c r="B15" s="34" t="s">
        <v>40</v>
      </c>
      <c r="C15" s="43" t="s">
        <v>89</v>
      </c>
      <c r="D15" s="35"/>
      <c r="E15" s="35"/>
      <c r="F15" s="40"/>
      <c r="G15" s="35"/>
      <c r="H15" s="35"/>
      <c r="I15" s="35"/>
      <c r="J15" s="35"/>
      <c r="K15" s="35"/>
      <c r="L15" s="35"/>
      <c r="M15" s="35"/>
      <c r="N15" s="44"/>
      <c r="O15" s="69">
        <f t="shared" ref="O15:W15" si="3">+O16</f>
        <v>8947.85</v>
      </c>
      <c r="P15" s="38">
        <f t="shared" si="3"/>
        <v>8947.85</v>
      </c>
      <c r="Q15" s="38">
        <f t="shared" si="3"/>
        <v>0</v>
      </c>
      <c r="R15" s="38">
        <f t="shared" si="3"/>
        <v>0</v>
      </c>
      <c r="S15" s="38">
        <f t="shared" si="3"/>
        <v>2913</v>
      </c>
      <c r="T15" s="38">
        <f t="shared" si="3"/>
        <v>2913</v>
      </c>
      <c r="U15" s="38">
        <f t="shared" si="3"/>
        <v>0</v>
      </c>
      <c r="V15" s="38">
        <f t="shared" si="3"/>
        <v>2913</v>
      </c>
      <c r="W15" s="38">
        <f t="shared" si="3"/>
        <v>2913</v>
      </c>
      <c r="X15" s="38"/>
      <c r="Y15" s="39"/>
      <c r="AR15" s="10"/>
    </row>
    <row r="16" spans="2:44" ht="27" x14ac:dyDescent="0.3">
      <c r="B16" s="46" t="s">
        <v>41</v>
      </c>
      <c r="C16" s="47" t="s">
        <v>99</v>
      </c>
      <c r="D16" s="48"/>
      <c r="E16" s="48"/>
      <c r="F16" s="49"/>
      <c r="G16" s="48"/>
      <c r="H16" s="48"/>
      <c r="I16" s="48"/>
      <c r="J16" s="48"/>
      <c r="K16" s="48"/>
      <c r="L16" s="48"/>
      <c r="M16" s="48"/>
      <c r="N16" s="52"/>
      <c r="O16" s="75">
        <f>SUM(O17:O26)-O21-O22-O23-O24</f>
        <v>8947.85</v>
      </c>
      <c r="P16" s="75">
        <f>SUM(P17:P26)-P21-P22-P23-P24</f>
        <v>8947.85</v>
      </c>
      <c r="Q16" s="62">
        <f t="shared" ref="Q16:R16" si="4">SUM(Q17:Q26)</f>
        <v>0</v>
      </c>
      <c r="R16" s="62">
        <f t="shared" si="4"/>
        <v>0</v>
      </c>
      <c r="S16" s="143">
        <f t="shared" ref="S16:U16" si="5">SUM(S17:S19)</f>
        <v>2913</v>
      </c>
      <c r="T16" s="143">
        <f t="shared" si="5"/>
        <v>2913</v>
      </c>
      <c r="U16" s="143">
        <f t="shared" si="5"/>
        <v>0</v>
      </c>
      <c r="V16" s="143">
        <f>SUM(V17:V19)</f>
        <v>2913</v>
      </c>
      <c r="W16" s="143">
        <f>SUM(W17:W19)</f>
        <v>2913</v>
      </c>
      <c r="X16" s="62"/>
      <c r="Y16" s="50"/>
      <c r="AR16" s="10"/>
    </row>
    <row r="17" spans="2:44" ht="52.5" customHeight="1" x14ac:dyDescent="0.3">
      <c r="B17" s="3">
        <v>1</v>
      </c>
      <c r="C17" s="14" t="s">
        <v>160</v>
      </c>
      <c r="D17" s="5" t="s">
        <v>161</v>
      </c>
      <c r="E17" s="6"/>
      <c r="F17" s="6"/>
      <c r="G17" s="6"/>
      <c r="H17" s="6"/>
      <c r="I17" s="6"/>
      <c r="J17" s="6"/>
      <c r="K17" s="6" t="s">
        <v>162</v>
      </c>
      <c r="L17" s="203"/>
      <c r="M17" s="203">
        <v>2021</v>
      </c>
      <c r="N17" s="13" t="s">
        <v>173</v>
      </c>
      <c r="O17" s="8">
        <v>7897.85</v>
      </c>
      <c r="P17" s="8">
        <v>7897.85</v>
      </c>
      <c r="Q17" s="9">
        <v>0</v>
      </c>
      <c r="R17" s="9">
        <v>0</v>
      </c>
      <c r="S17" s="9">
        <v>2000</v>
      </c>
      <c r="T17" s="9">
        <v>2000</v>
      </c>
      <c r="U17" s="9"/>
      <c r="V17" s="9">
        <f>W17</f>
        <v>2000</v>
      </c>
      <c r="W17" s="9">
        <v>2000</v>
      </c>
      <c r="X17" s="9"/>
      <c r="Y17" s="18" t="s">
        <v>174</v>
      </c>
      <c r="AR17" s="10"/>
    </row>
    <row r="18" spans="2:44" ht="43.5" customHeight="1" x14ac:dyDescent="0.3">
      <c r="B18" s="3">
        <v>2</v>
      </c>
      <c r="C18" s="127" t="s">
        <v>153</v>
      </c>
      <c r="D18" s="128" t="s">
        <v>154</v>
      </c>
      <c r="E18" s="128"/>
      <c r="F18" s="129"/>
      <c r="G18" s="130"/>
      <c r="H18" s="130"/>
      <c r="I18" s="130"/>
      <c r="J18" s="130"/>
      <c r="K18" s="130" t="s">
        <v>42</v>
      </c>
      <c r="L18" s="130"/>
      <c r="M18" s="130">
        <v>2021</v>
      </c>
      <c r="N18" s="13" t="s">
        <v>157</v>
      </c>
      <c r="O18" s="131">
        <v>1050</v>
      </c>
      <c r="P18" s="132">
        <v>1050</v>
      </c>
      <c r="Q18" s="133"/>
      <c r="R18" s="133"/>
      <c r="S18" s="131">
        <v>913</v>
      </c>
      <c r="T18" s="132">
        <v>913</v>
      </c>
      <c r="U18" s="133"/>
      <c r="V18" s="9">
        <v>913</v>
      </c>
      <c r="W18" s="9">
        <v>913</v>
      </c>
      <c r="X18" s="9"/>
      <c r="Y18" s="18" t="s">
        <v>165</v>
      </c>
      <c r="AR18" s="10"/>
    </row>
    <row r="19" spans="2:44" x14ac:dyDescent="0.3">
      <c r="B19" s="46" t="s">
        <v>54</v>
      </c>
      <c r="C19" s="47" t="s">
        <v>77</v>
      </c>
      <c r="D19" s="48"/>
      <c r="E19" s="48"/>
      <c r="F19" s="49"/>
      <c r="G19" s="48"/>
      <c r="H19" s="48"/>
      <c r="I19" s="48"/>
      <c r="J19" s="48"/>
      <c r="K19" s="48"/>
      <c r="L19" s="48"/>
      <c r="M19" s="48"/>
      <c r="N19" s="52"/>
      <c r="O19" s="72"/>
      <c r="P19" s="51"/>
      <c r="Q19" s="51"/>
      <c r="R19" s="51"/>
      <c r="S19" s="51"/>
      <c r="T19" s="51"/>
      <c r="U19" s="51"/>
      <c r="V19" s="51"/>
      <c r="W19" s="51"/>
      <c r="X19" s="51"/>
      <c r="Y19" s="50"/>
      <c r="AR19" s="10"/>
    </row>
    <row r="20" spans="2:44" ht="20.25" customHeight="1" x14ac:dyDescent="0.3">
      <c r="B20" s="89" t="s">
        <v>52</v>
      </c>
      <c r="C20" s="90" t="s">
        <v>55</v>
      </c>
      <c r="D20" s="119"/>
      <c r="E20" s="119"/>
      <c r="F20" s="119"/>
      <c r="G20" s="119" t="s">
        <v>43</v>
      </c>
      <c r="H20" s="120" t="s">
        <v>56</v>
      </c>
      <c r="I20" s="119" t="s">
        <v>44</v>
      </c>
      <c r="J20" s="119" t="s">
        <v>45</v>
      </c>
      <c r="K20" s="119"/>
      <c r="L20" s="119"/>
      <c r="M20" s="119"/>
      <c r="N20" s="119"/>
      <c r="O20" s="121"/>
      <c r="P20" s="122"/>
      <c r="Q20" s="91"/>
      <c r="R20" s="91"/>
      <c r="S20" s="91"/>
      <c r="T20" s="91"/>
      <c r="U20" s="91"/>
      <c r="V20" s="91"/>
      <c r="W20" s="91"/>
      <c r="X20" s="91"/>
      <c r="Y20" s="123"/>
      <c r="AR20" s="10"/>
    </row>
  </sheetData>
  <mergeCells count="32">
    <mergeCell ref="B1:Y1"/>
    <mergeCell ref="B2:Y2"/>
    <mergeCell ref="B4:B9"/>
    <mergeCell ref="C4:C9"/>
    <mergeCell ref="D4:D9"/>
    <mergeCell ref="E4:E9"/>
    <mergeCell ref="F4:F9"/>
    <mergeCell ref="G4:G9"/>
    <mergeCell ref="H4:H9"/>
    <mergeCell ref="I4:I9"/>
    <mergeCell ref="J4:J9"/>
    <mergeCell ref="K4:K9"/>
    <mergeCell ref="L4:L9"/>
    <mergeCell ref="M4:M9"/>
    <mergeCell ref="N4:P4"/>
    <mergeCell ref="S4:U4"/>
    <mergeCell ref="V4:X4"/>
    <mergeCell ref="Y4:Y9"/>
    <mergeCell ref="N5:N9"/>
    <mergeCell ref="O5:O9"/>
    <mergeCell ref="P5:P9"/>
    <mergeCell ref="Q5:Q9"/>
    <mergeCell ref="R5:R9"/>
    <mergeCell ref="S5:S9"/>
    <mergeCell ref="Q4:R4"/>
    <mergeCell ref="X6:X9"/>
    <mergeCell ref="T5:U5"/>
    <mergeCell ref="V5:V9"/>
    <mergeCell ref="W5:X5"/>
    <mergeCell ref="T6:T9"/>
    <mergeCell ref="U6:U9"/>
    <mergeCell ref="W6:W9"/>
  </mergeCells>
  <printOptions horizontalCentered="1"/>
  <pageMargins left="0.27559055118110237" right="0.23622047244094491" top="0.51181102362204722" bottom="0.74803149606299213" header="0.31496062992125984" footer="0.31496062992125984"/>
  <pageSetup paperSize="9" scale="6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Bieu 01. Tong hop 2021-2025</vt:lpstr>
      <vt:lpstr>Bieu 02. Chi tiet</vt:lpstr>
      <vt:lpstr>Bieu 03. Phan cap</vt:lpstr>
      <vt:lpstr>Bieu 04 thu de lai dau tu</vt:lpstr>
      <vt:lpstr>Bieu 05 Chuyen nguon</vt:lpstr>
      <vt:lpstr>Bieu 06 NS tinh</vt:lpstr>
      <vt:lpstr>'Bieu 01. Tong hop 2021-2025'!Print_Area</vt:lpstr>
      <vt:lpstr>'Bieu 02. Chi tiet'!Print_Area</vt:lpstr>
      <vt:lpstr>'Bieu 03. Phan cap'!Print_Area</vt:lpstr>
      <vt:lpstr>'Bieu 04 thu de lai dau tu'!Print_Area</vt:lpstr>
      <vt:lpstr>'Bieu 05 Chuyen nguon'!Print_Area</vt:lpstr>
      <vt:lpstr>'Bieu 06 NS tinh'!Print_Area</vt:lpstr>
      <vt:lpstr>'Bieu 01. Tong hop 2021-2025'!Print_Titles</vt:lpstr>
      <vt:lpstr>'Bieu 02. Chi tiet'!Print_Titles</vt:lpstr>
      <vt:lpstr>'Bieu 04 thu de lai dau tu'!Print_Titles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HTC</cp:lastModifiedBy>
  <cp:lastPrinted>2021-12-11T12:52:32Z</cp:lastPrinted>
  <dcterms:created xsi:type="dcterms:W3CDTF">2020-11-14T13:41:21Z</dcterms:created>
  <dcterms:modified xsi:type="dcterms:W3CDTF">2021-12-16T13:38:32Z</dcterms:modified>
</cp:coreProperties>
</file>